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hernandezc\Desktop\disco interno\Nuevo Regimen Tarifario 2025-2029\PLIEGO TARIFARIO 2025 -2029\4TA ENTREGA-USB PT FINAL 29_12_2025\Cargos Equivalentes\"/>
    </mc:Choice>
  </mc:AlternateContent>
  <xr:revisionPtr revIDLastSave="0" documentId="8_{CE9D1175-338F-4E52-B90D-BEADE12BC687}" xr6:coauthVersionLast="47" xr6:coauthVersionMax="47" xr10:uidLastSave="{00000000-0000-0000-0000-000000000000}"/>
  <bookViews>
    <workbookView xWindow="-120" yWindow="-120" windowWidth="29040" windowHeight="16440" tabRatio="860" activeTab="4" xr2:uid="{00000000-000D-0000-FFFF-FFFF00000000}"/>
  </bookViews>
  <sheets>
    <sheet name="Datos fijos AÑO 1" sheetId="38" r:id="rId1"/>
    <sheet name="Datos fijos AÑO 2 " sheetId="37" r:id="rId2"/>
    <sheet name="Datos fijos AÑO 3" sheetId="39" r:id="rId3"/>
    <sheet name="Datos fijos AÑO 4" sheetId="40" r:id="rId4"/>
    <sheet name="CUSPT Equivalente - Generadores" sheetId="13" r:id="rId5"/>
    <sheet name="CUSPT AÑO 1 " sheetId="36" r:id="rId6"/>
    <sheet name="CUSPT AÑO 2" sheetId="35" r:id="rId7"/>
    <sheet name="CUSPT AÑO 3" sheetId="34" r:id="rId8"/>
    <sheet name="CUSPT AÑO 4  " sheetId="33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0" localSheetId="4">#REF!</definedName>
    <definedName name="\0">#REF!</definedName>
    <definedName name="\a" localSheetId="4">#REF!</definedName>
    <definedName name="\a">#REF!</definedName>
    <definedName name="\b" localSheetId="4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m">#REF!</definedName>
    <definedName name="\r">#REF!</definedName>
    <definedName name="\w">#REF!</definedName>
    <definedName name="\z">#REF!</definedName>
    <definedName name="____PRO2">#REF!</definedName>
    <definedName name="___PRO2">#REF!</definedName>
    <definedName name="__123Graph_AGrßfico1" hidden="1">'[1]2001-2005-Contraloría'!#REF!</definedName>
    <definedName name="__123Graph_XGrßfico1" hidden="1">'[1]2001-2005-Contraloría'!#REF!</definedName>
    <definedName name="__ABR1">#REF!</definedName>
    <definedName name="__ABR2">#REF!</definedName>
    <definedName name="__AGO1">#REF!</definedName>
    <definedName name="__AGO2">#REF!</definedName>
    <definedName name="__CFP1">#REF!</definedName>
    <definedName name="__COP1">#REF!</definedName>
    <definedName name="__CRM1">#REF!</definedName>
    <definedName name="__CRM2">#REF!</definedName>
    <definedName name="__DIC2">#REF!</definedName>
    <definedName name="__ENE1">#REF!</definedName>
    <definedName name="__ENE2">#REF!</definedName>
    <definedName name="__ERP1">#REF!</definedName>
    <definedName name="__ESP1">#REF!</definedName>
    <definedName name="__FEB1">#REF!</definedName>
    <definedName name="__FEB2">#REF!</definedName>
    <definedName name="__JUL1">#REF!</definedName>
    <definedName name="__JUL2">#REF!</definedName>
    <definedName name="__JUN1">#REF!</definedName>
    <definedName name="__JUN2">#REF!</definedName>
    <definedName name="__MAR1">#REF!</definedName>
    <definedName name="__MAR2">#REF!</definedName>
    <definedName name="__MAY1">#REF!</definedName>
    <definedName name="__MAY2">#REF!</definedName>
    <definedName name="__NOV1">#REF!</definedName>
    <definedName name="__NOV2">#REF!</definedName>
    <definedName name="__OAP1">#REF!</definedName>
    <definedName name="__OCT1">#REF!</definedName>
    <definedName name="__OCT2">#REF!</definedName>
    <definedName name="__PRO1">#REF!</definedName>
    <definedName name="__PRO2">#REF!</definedName>
    <definedName name="__PRO3">#REF!</definedName>
    <definedName name="__PRO4">#REF!</definedName>
    <definedName name="__RFP1">#REF!</definedName>
    <definedName name="__SE1">#REF!</definedName>
    <definedName name="__SE11">#REF!</definedName>
    <definedName name="__SE12">#REF!</definedName>
    <definedName name="__SE13">#REF!</definedName>
    <definedName name="__SE14">#REF!</definedName>
    <definedName name="__SE15">#REF!</definedName>
    <definedName name="__SE16">#REF!</definedName>
    <definedName name="__SE2">#REF!</definedName>
    <definedName name="__SE3">#REF!</definedName>
    <definedName name="__SE4">#REF!</definedName>
    <definedName name="__SE5">#REF!</definedName>
    <definedName name="__SE6">#REF!</definedName>
    <definedName name="__SEP1">#REF!</definedName>
    <definedName name="__SEP2">#REF!</definedName>
    <definedName name="__TST1">#REF!</definedName>
    <definedName name="__TST2">#REF!</definedName>
    <definedName name="__TST3">#REF!</definedName>
    <definedName name="_12__123Graph_XGrßfico_1A" hidden="1">'[1]2001-2005-Contraloría'!#REF!</definedName>
    <definedName name="_123Gph_AGrBfico3A" hidden="1">'[2]2001-2008Contraloría Historico'!#REF!</definedName>
    <definedName name="_123Graph_XGrBfico1B" hidden="1">'[2]2001-2008Contraloría Historico'!#REF!</definedName>
    <definedName name="_123Grph_XGrBfico2A" hidden="1">'[2]2001-2008Contraloría Historico'!#REF!</definedName>
    <definedName name="_123Grph_YGRBfico3" hidden="1">'[2]2001-2008Contraloría Historico'!#REF!</definedName>
    <definedName name="_12Val_" hidden="1">'[3]2001-2012 Contraloría Historico'!#REF!</definedName>
    <definedName name="_2">#REF!</definedName>
    <definedName name="_2__123Graph_AGrßfico_1A" hidden="1">'[1]2001-2005-Contraloría'!#REF!</definedName>
    <definedName name="_321" hidden="1">'[2]2001-2008Contraloría Historico'!#REF!</definedName>
    <definedName name="_3210" hidden="1">'[2]2001-2008Contraloría Historico'!#REF!</definedName>
    <definedName name="_4__123Graph_AGrßfico_1A" hidden="1">'[1]2001-2005-Contraloría'!#REF!</definedName>
    <definedName name="_4__123Graph_XGrßfico_1A" hidden="1">'[1]2001-2005-Contraloría'!#REF!</definedName>
    <definedName name="_43__123Graph_AGrßfico_1A" hidden="1">'[4]2001-2012 Contraloría Historico'!#REF!</definedName>
    <definedName name="_6__123Graph_AGrßfico_1A" hidden="1">'[1]2001-2005-Contraloría'!#REF!</definedName>
    <definedName name="_8__123Graph_XGrßfico_1A" hidden="1">'[1]2001-2005-Contraloría'!#REF!</definedName>
    <definedName name="_86__123Graph_XGrßfico_1A" hidden="1">'[4]2001-2012 Contraloría Historico'!#REF!</definedName>
    <definedName name="_ABR1">#REF!</definedName>
    <definedName name="_ABR2">#REF!</definedName>
    <definedName name="_AGO1">#REF!</definedName>
    <definedName name="_AGO2">#REF!</definedName>
    <definedName name="_CFP1">#REF!</definedName>
    <definedName name="_COP1">#REF!</definedName>
    <definedName name="_CRM1">#REF!</definedName>
    <definedName name="_CRM2">#REF!</definedName>
    <definedName name="_DIC2">#REF!</definedName>
    <definedName name="_ENE1">#REF!</definedName>
    <definedName name="_ENE2">#REF!</definedName>
    <definedName name="_ERP1">#REF!</definedName>
    <definedName name="_ESP1">#REF!</definedName>
    <definedName name="_FEB1">#REF!</definedName>
    <definedName name="_FEB2">#REF!</definedName>
    <definedName name="_Fill" hidden="1">#REF!</definedName>
    <definedName name="_intracorp" hidden="1">'[2]2001-2008Contraloría Historico'!#REF!</definedName>
    <definedName name="_intracorpGraph" hidden="1">'[2]2001-2008Contraloría Historico'!#REF!</definedName>
    <definedName name="_JUL1">#REF!</definedName>
    <definedName name="_JUL2">#REF!</definedName>
    <definedName name="_JUN1">#REF!</definedName>
    <definedName name="_JUN2">#REF!</definedName>
    <definedName name="_MAR1">#REF!</definedName>
    <definedName name="_MAR2">#REF!</definedName>
    <definedName name="_MAY1">#REF!</definedName>
    <definedName name="_MAY2">#REF!</definedName>
    <definedName name="_NOV1">#REF!</definedName>
    <definedName name="_NOV2">#REF!</definedName>
    <definedName name="_OAP1">#REF!</definedName>
    <definedName name="_OCT1">#REF!</definedName>
    <definedName name="_OCT2">#REF!</definedName>
    <definedName name="_PRO1">#REF!</definedName>
    <definedName name="_PRO2">#REF!</definedName>
    <definedName name="_PRO3">#REF!</definedName>
    <definedName name="_PRO4">#REF!</definedName>
    <definedName name="_RFP1">#REF!</definedName>
    <definedName name="_SE1">#REF!</definedName>
    <definedName name="_SE11">#REF!</definedName>
    <definedName name="_SE12">#REF!</definedName>
    <definedName name="_SE13">#REF!</definedName>
    <definedName name="_SE14">#REF!</definedName>
    <definedName name="_SE15">#REF!</definedName>
    <definedName name="_SE16">#REF!</definedName>
    <definedName name="_SE2">#REF!</definedName>
    <definedName name="_SE3">#REF!</definedName>
    <definedName name="_SE4">#REF!</definedName>
    <definedName name="_SE5">#REF!</definedName>
    <definedName name="_SE6">#REF!</definedName>
    <definedName name="_SEP1">#REF!</definedName>
    <definedName name="_SEP2">#REF!</definedName>
    <definedName name="_TST1">#REF!</definedName>
    <definedName name="_TST2">#REF!</definedName>
    <definedName name="_TST3">#REF!</definedName>
    <definedName name="A_IMPRESIÓN_IM">#REF!</definedName>
    <definedName name="Abril">#REF!</definedName>
    <definedName name="ActNetoHidro">'[5]IMPA Indicativo'!#REF!</definedName>
    <definedName name="ACTUAL">#REF!</definedName>
    <definedName name="ANOS">#REF!</definedName>
    <definedName name="ANOSHIS">#REF!</definedName>
    <definedName name="ANOUNO">#REF!</definedName>
    <definedName name="_xlnm.Extract">#REF!</definedName>
    <definedName name="_xlnm.Print_Area" localSheetId="5">'CUSPT AÑO 1 '!$A$1:$M$66</definedName>
    <definedName name="_xlnm.Print_Area" localSheetId="6">'CUSPT AÑO 2'!$A$1:$M$66</definedName>
    <definedName name="_xlnm.Print_Area" localSheetId="7">'CUSPT AÑO 3'!$A$1:$M$66</definedName>
    <definedName name="_xlnm.Print_Area" localSheetId="8">'CUSPT AÑO 4  '!$A$1:$M$66</definedName>
    <definedName name="_xlnm.Print_Area" localSheetId="4">'CUSPT Equivalente - Generadores'!$A$1:$M$26</definedName>
    <definedName name="_xlnm.Print_Area" localSheetId="0">'Datos fijos AÑO 1'!$A$15:$E$147</definedName>
    <definedName name="_xlnm.Print_Area" localSheetId="1">'Datos fijos AÑO 2 '!$A$15:$E$147</definedName>
    <definedName name="_xlnm.Print_Area" localSheetId="2">'Datos fijos AÑO 3'!$A$15:$E$147</definedName>
    <definedName name="_xlnm.Print_Area" localSheetId="3">'Datos fijos AÑO 4'!$A$15:$E$147</definedName>
    <definedName name="ASSUMPTIONS" localSheetId="4">#REF!</definedName>
    <definedName name="ASSUMPTIONS">#REF!</definedName>
    <definedName name="b">#REF!</definedName>
    <definedName name="BALANCE_SH" localSheetId="4">#REF!</definedName>
    <definedName name="BALANCE_SH">#REF!</definedName>
    <definedName name="Base_datos_IM">#REF!</definedName>
    <definedName name="_xlnm.Database">#REF!</definedName>
    <definedName name="BASIC_DATA">#REF!</definedName>
    <definedName name="BASICO">#REF!</definedName>
    <definedName name="BLANK">#REF!</definedName>
    <definedName name="Blev">#REF!</definedName>
    <definedName name="Bu">#REF!</definedName>
    <definedName name="CALCULAR">#REF!</definedName>
    <definedName name="CASH_FL">#REF!</definedName>
    <definedName name="CASH_FLOW_RPT">#REF!</definedName>
    <definedName name="CASH_RPT_BR_ROW">#REF!</definedName>
    <definedName name="CASH_RPT_HEADER">#REF!</definedName>
    <definedName name="CASHFLOW">#REF!</definedName>
    <definedName name="CBASE">#REF!</definedName>
    <definedName name="CCC">#REF!</definedName>
    <definedName name="CF_CY">#REF!</definedName>
    <definedName name="CFP">#REF!</definedName>
    <definedName name="CFPC">#REF!</definedName>
    <definedName name="CFPDATA">#REF!</definedName>
    <definedName name="CFPTITLES">#REF!</definedName>
    <definedName name="CFTITLE">#REF!</definedName>
    <definedName name="CFUNIT">#REF!</definedName>
    <definedName name="CHANGES">#REF!</definedName>
    <definedName name="CHECAMAC">#REF!</definedName>
    <definedName name="CHECAOPT">#REF!</definedName>
    <definedName name="CO_CY">#REF!</definedName>
    <definedName name="COLTOTAL">#REF!</definedName>
    <definedName name="COLWIDE">#REF!</definedName>
    <definedName name="CON_ACC_REC">#REF!</definedName>
    <definedName name="CON_ALL_REPORT">#REF!</definedName>
    <definedName name="CON_NETWORTH">#REF!</definedName>
    <definedName name="CON_PAS_COR">#REF!</definedName>
    <definedName name="CON_REPT_FOOTER">#REF!</definedName>
    <definedName name="CON_REPT_HEADER">#REF!</definedName>
    <definedName name="CON_REVENUE">#REF!</definedName>
    <definedName name="CON_RPT_BOR_COL">#REF!</definedName>
    <definedName name="CON_RPT_BOR_ROW">#REF!</definedName>
    <definedName name="CON_VOLUMES">#REF!</definedName>
    <definedName name="CONEX">#REF!</definedName>
    <definedName name="CONSOL_FIXED_AS">#REF!</definedName>
    <definedName name="CONSOL_FUENTE_I">#REF!</definedName>
    <definedName name="CONSOL_RPT">#REF!</definedName>
    <definedName name="CONSOLIDA">#REF!</definedName>
    <definedName name="CONSOLIDATION">#REF!</definedName>
    <definedName name="COP">#REF!</definedName>
    <definedName name="COPDATA">#REF!</definedName>
    <definedName name="COTITLE">#REF!</definedName>
    <definedName name="COUNIT">#REF!</definedName>
    <definedName name="_xlnm.Criteria">#REF!</definedName>
    <definedName name="Criterios_IM">#REF!</definedName>
    <definedName name="CSD">#REF!</definedName>
    <definedName name="CY_DOLAR">#REF!</definedName>
    <definedName name="CY_LOCAL">#REF!</definedName>
    <definedName name="D">#REF!</definedName>
    <definedName name="D1_">#REF!</definedName>
    <definedName name="D2_">#REF!</definedName>
    <definedName name="D3_">#REF!</definedName>
    <definedName name="D4_">#REF!</definedName>
    <definedName name="D5_">#N/A</definedName>
    <definedName name="D6_">#N/A</definedName>
    <definedName name="D7_">#REF!</definedName>
    <definedName name="D8_">#REF!</definedName>
    <definedName name="DATOSE">#REF!</definedName>
    <definedName name="DBHH">#REF!</definedName>
    <definedName name="DBPC">#REF!</definedName>
    <definedName name="DBT">#REF!</definedName>
    <definedName name="DCOL">#REF!</definedName>
    <definedName name="DE">#REF!</definedName>
    <definedName name="DECI">#REF!</definedName>
    <definedName name="DENOMINATION">#REF!</definedName>
    <definedName name="DEPRINT">#REF!</definedName>
    <definedName name="derfgtttttt">[6]Hidrometeorología!$D$14</definedName>
    <definedName name="DEUDA">#REF!</definedName>
    <definedName name="DEUDAL">#REF!</definedName>
    <definedName name="dfres">[6]Hidrometeorología!$D$14</definedName>
    <definedName name="DV">#REF!</definedName>
    <definedName name="ENTRY">#REF!</definedName>
    <definedName name="ER_CY">#REF!</definedName>
    <definedName name="ERHACTUAL">#REF!</definedName>
    <definedName name="ERHDATA10YEARS">#REF!</definedName>
    <definedName name="ERHDATA5">#REF!</definedName>
    <definedName name="ERHTITLES">#REF!</definedName>
    <definedName name="ERP">#REF!</definedName>
    <definedName name="ERP_LAST">#REF!</definedName>
    <definedName name="ERP0">#REF!</definedName>
    <definedName name="ERPC">#REF!</definedName>
    <definedName name="ERPDATA">#REF!</definedName>
    <definedName name="ERPTITLES">#REF!</definedName>
    <definedName name="ERPUNO">#REF!</definedName>
    <definedName name="ERPWP">#REF!</definedName>
    <definedName name="ERTITLE">#REF!</definedName>
    <definedName name="ERUNIT">#REF!</definedName>
    <definedName name="ES_CY">#REF!</definedName>
    <definedName name="ESP">#REF!</definedName>
    <definedName name="ESP_LAST">#REF!</definedName>
    <definedName name="ESP0">#REF!</definedName>
    <definedName name="ESPACTUAL">#REF!</definedName>
    <definedName name="ESPANOL">#REF!</definedName>
    <definedName name="ESPC">#REF!</definedName>
    <definedName name="ESPDATA">#REF!</definedName>
    <definedName name="ESPTITLES">#REF!</definedName>
    <definedName name="ESPUNO">#REF!</definedName>
    <definedName name="ESTITLE">#REF!</definedName>
    <definedName name="ESUNIT">#REF!</definedName>
    <definedName name="EXIT">#REF!</definedName>
    <definedName name="Extracción_IM">#REF!</definedName>
    <definedName name="FACEL">#REF!</definedName>
    <definedName name="FACWA">#REF!</definedName>
    <definedName name="FILE1">#REF!</definedName>
    <definedName name="FILE2">#REF!</definedName>
    <definedName name="FILE3">#REF!</definedName>
    <definedName name="FILE4">#REF!</definedName>
    <definedName name="FILE5">#REF!</definedName>
    <definedName name="FILE6">#REF!</definedName>
    <definedName name="FILE7">#REF!</definedName>
    <definedName name="FILE8">#REF!</definedName>
    <definedName name="FILENAME">#REF!</definedName>
    <definedName name="FILES">#REF!</definedName>
    <definedName name="FILESET_UP">#REF!</definedName>
    <definedName name="FIN">#REF!</definedName>
    <definedName name="FORMAT">#REF!</definedName>
    <definedName name="FRAME">#REF!</definedName>
    <definedName name="FREEZE">#REF!</definedName>
    <definedName name="GHH">#REF!</definedName>
    <definedName name="GINC">#REF!</definedName>
    <definedName name="GINCL">#REF!</definedName>
    <definedName name="GWH">#REF!</definedName>
    <definedName name="HISTORY">#REF!</definedName>
    <definedName name="HOJAT">#REF!</definedName>
    <definedName name="i">#REF!</definedName>
    <definedName name="IMPANO0">#REF!</definedName>
    <definedName name="INCOME_ST">#REF!</definedName>
    <definedName name="INDSAVE">#REF!</definedName>
    <definedName name="INGLES">#REF!</definedName>
    <definedName name="INICIO">#REF!</definedName>
    <definedName name="INSTRUCCONSOL">#REF!</definedName>
    <definedName name="INTRACORPa" hidden="1">'[2]2001-2008Contraloría Historico'!#REF!</definedName>
    <definedName name="ITER">#REF!</definedName>
    <definedName name="J1_">#REF!</definedName>
    <definedName name="J2_">#REF!</definedName>
    <definedName name="J3_">#REF!</definedName>
    <definedName name="J4_">#REF!</definedName>
    <definedName name="J5_">#N/A</definedName>
    <definedName name="J6_">#N/A</definedName>
    <definedName name="J7_">#REF!</definedName>
    <definedName name="J8_">#REF!</definedName>
    <definedName name="JI">#REF!</definedName>
    <definedName name="JKL">#REF!</definedName>
    <definedName name="KKK">#REF!</definedName>
    <definedName name="LANGUAGE">#REF!</definedName>
    <definedName name="LASER">#REF!</definedName>
    <definedName name="LAST_YEAR">#REF!</definedName>
    <definedName name="LEARN">#REF!</definedName>
    <definedName name="LINE_">#REF!</definedName>
    <definedName name="LINES_ML">#REF!</definedName>
    <definedName name="LOGO">#REF!</definedName>
    <definedName name="M1_">#REF!</definedName>
    <definedName name="M2_">#REF!</definedName>
    <definedName name="M3_">#REF!</definedName>
    <definedName name="M4_">#REF!</definedName>
    <definedName name="M5_">#N/A</definedName>
    <definedName name="M6_">#N/A</definedName>
    <definedName name="M7_">#REF!</definedName>
    <definedName name="M8_">#REF!</definedName>
    <definedName name="MAIN">#REF!</definedName>
    <definedName name="MENSAJ">#REF!</definedName>
    <definedName name="MENSAJ1">#REF!</definedName>
    <definedName name="MENSAJE">#REF!</definedName>
    <definedName name="MENSAJE1">#REF!</definedName>
    <definedName name="MESES">#REF!</definedName>
    <definedName name="MESESL">#REF!</definedName>
    <definedName name="MIL">#REF!</definedName>
    <definedName name="MILLON">#REF!</definedName>
    <definedName name="MODINFO">#REF!</definedName>
    <definedName name="MODULES">#REF!</definedName>
    <definedName name="MSGCALC">#REF!</definedName>
    <definedName name="MSGDEBT">#REF!</definedName>
    <definedName name="MSGFILES">#REF!</definedName>
    <definedName name="MSGINVEST">#REF!</definedName>
    <definedName name="MSGNAMES">#REF!</definedName>
    <definedName name="MSGPRINTG">#REF!</definedName>
    <definedName name="MSGTRANSFER">#REF!</definedName>
    <definedName name="MWH">#REF!</definedName>
    <definedName name="NAME">#REF!</definedName>
    <definedName name="NAMES">#REF!</definedName>
    <definedName name="NOPRO">#REF!</definedName>
    <definedName name="OA_CY">#REF!</definedName>
    <definedName name="OAP">#REF!</definedName>
    <definedName name="OAP_LAST">#REF!</definedName>
    <definedName name="OAP0">#REF!</definedName>
    <definedName name="OAPACTUAL">#REF!</definedName>
    <definedName name="OAPC">#REF!</definedName>
    <definedName name="OAPDATA">#REF!</definedName>
    <definedName name="OAPTITLES">#REF!</definedName>
    <definedName name="OAPUNO">#REF!</definedName>
    <definedName name="OATITLE">#REF!</definedName>
    <definedName name="OAUNIT">#REF!</definedName>
    <definedName name="OPCFLAG">#REF!</definedName>
    <definedName name="OPCION">#REF!</definedName>
    <definedName name="OPSELC">#REF!</definedName>
    <definedName name="OUTPUT">#REF!</definedName>
    <definedName name="OUTPUTDE">#REF!</definedName>
    <definedName name="OUTPUTE">#REF!</definedName>
    <definedName name="OUTPUTE_HEADER">#REF!</definedName>
    <definedName name="OUTPUTEBODY">#REF!</definedName>
    <definedName name="OUTPUTECOL">#REF!</definedName>
    <definedName name="OUTPUTEHEAD">#REF!</definedName>
    <definedName name="OUTPUTNOS">#REF!</definedName>
    <definedName name="OUTPUTPR">#REF!</definedName>
    <definedName name="OUTPUTWS">#REF!</definedName>
    <definedName name="PANTALLA">#REF!</definedName>
    <definedName name="PAPEL">#REF!</definedName>
    <definedName name="PFLAG">#REF!</definedName>
    <definedName name="PGIC">#REF!</definedName>
    <definedName name="PIBnuevo15" hidden="1">'[4]2001-2012 Contraloría Historico'!#REF!</definedName>
    <definedName name="PREST">#REF!</definedName>
    <definedName name="PRESTAMO">#REF!</definedName>
    <definedName name="PRESTTOT">#REF!</definedName>
    <definedName name="PRINTER">#REF!</definedName>
    <definedName name="PRO">#REF!</definedName>
    <definedName name="PRODUC2">#REF!</definedName>
    <definedName name="PRODUC3">#REF!</definedName>
    <definedName name="PRODUC4">#REF!</definedName>
    <definedName name="PTOEF">#REF!</definedName>
    <definedName name="PTOER">#REF!</definedName>
    <definedName name="RANGES">#REF!</definedName>
    <definedName name="RATIOS">#REF!</definedName>
    <definedName name="RCC">#REF!</definedName>
    <definedName name="RCCOBR">#REF!</definedName>
    <definedName name="rd">#REF!</definedName>
    <definedName name="rdn" localSheetId="4">[7]Hidrometeorología!$D$14</definedName>
    <definedName name="rdn">[8]Hidrometeorología!$D$14</definedName>
    <definedName name="rdx" localSheetId="4">[7]Hidrometeorología!$D$14</definedName>
    <definedName name="rdx">[8]Hidrometeorología!$D$14</definedName>
    <definedName name="re" localSheetId="4">#REF!</definedName>
    <definedName name="re">#REF!</definedName>
    <definedName name="RENTA" localSheetId="4">#REF!</definedName>
    <definedName name="RENTA">#REF!</definedName>
    <definedName name="RENTAL" localSheetId="4">#REF!</definedName>
    <definedName name="RENTAL">#REF!</definedName>
    <definedName name="REPO">#REF!</definedName>
    <definedName name="REPOCALC">#REF!</definedName>
    <definedName name="REPOPRO">#REF!</definedName>
    <definedName name="REPSUB">#REF!</definedName>
    <definedName name="REPSUBWYS">#REF!</definedName>
    <definedName name="RESUMEN">#REF!</definedName>
    <definedName name="rf">#REF!</definedName>
    <definedName name="RF_CY">#REF!</definedName>
    <definedName name="RFP">#REF!</definedName>
    <definedName name="RFPACTUAL">#REF!</definedName>
    <definedName name="RFPC">#REF!</definedName>
    <definedName name="RFPDATA">#REF!</definedName>
    <definedName name="RFPTITLES">#REF!</definedName>
    <definedName name="RFTITLE">#REF!</definedName>
    <definedName name="RFUNIT">#REF!</definedName>
    <definedName name="rm_rf">#REF!</definedName>
    <definedName name="rp">#REF!</definedName>
    <definedName name="RPTSFOOTER">#REF!</definedName>
    <definedName name="RPTSHEADER">#REF!</definedName>
    <definedName name="rrd" localSheetId="4">[7]IMP!$D$14</definedName>
    <definedName name="rrd">[9]RRT!$D$14</definedName>
    <definedName name="RRT" localSheetId="4">#REF!</definedName>
    <definedName name="RRT">#REF!</definedName>
    <definedName name="RRTg">[10]IPCT!$C$14</definedName>
    <definedName name="S1_">#REF!</definedName>
    <definedName name="S2_">#REF!</definedName>
    <definedName name="S3_">#REF!</definedName>
    <definedName name="S4_">#REF!</definedName>
    <definedName name="S5_">#N/A</definedName>
    <definedName name="S6_">#N/A</definedName>
    <definedName name="S7_">#REF!</definedName>
    <definedName name="S8_">#REF!</definedName>
    <definedName name="SCREEN" localSheetId="4">#REF!</definedName>
    <definedName name="SCREEN">#REF!</definedName>
    <definedName name="Sd" localSheetId="4">#REF!</definedName>
    <definedName name="Sd">#REF!</definedName>
    <definedName name="SE0">#REF!</definedName>
    <definedName name="SENOP">#REF!</definedName>
    <definedName name="SENPRI">#REF!</definedName>
    <definedName name="SENSITIVITY">#REF!</definedName>
    <definedName name="SENSTA">#REF!</definedName>
    <definedName name="SENT">#REF!</definedName>
    <definedName name="SENUNI">#REF!</definedName>
    <definedName name="SER">#REF!</definedName>
    <definedName name="SOURCE_APPL">#REF!</definedName>
    <definedName name="ss">#REF!</definedName>
    <definedName name="STAMP">#REF!</definedName>
    <definedName name="START">#REF!</definedName>
    <definedName name="SUMARIA">#REF!</definedName>
    <definedName name="SUPUESTOS">#REF!</definedName>
    <definedName name="t">#REF!</definedName>
    <definedName name="TASA">#REF!</definedName>
    <definedName name="TASAI">#REF!</definedName>
    <definedName name="TASATOT">#REF!</definedName>
    <definedName name="TEXTO">#REF!</definedName>
    <definedName name="TIPO">#REF!</definedName>
    <definedName name="TITLE">#REF!</definedName>
    <definedName name="TITLEENG">#REF!</definedName>
    <definedName name="TITLES">#REF!</definedName>
    <definedName name="TITLESPAN">#REF!</definedName>
    <definedName name="TODO">#REF!</definedName>
    <definedName name="TRAF">#REF!</definedName>
    <definedName name="tret" hidden="1">'[2]2001-2008Contraloría Historico'!#REF!</definedName>
    <definedName name="TSFR1">#REF!</definedName>
    <definedName name="TSFR2">#REF!</definedName>
    <definedName name="TSFR3">#REF!</definedName>
    <definedName name="UNDERLINE">#REF!</definedName>
    <definedName name="UNFREEZE">#REF!</definedName>
    <definedName name="UNITS">#REF!</definedName>
    <definedName name="VNR_Lineas">[5]VNR!$Q$59</definedName>
    <definedName name="VNR_Lineas_Conexión">[5]VNR!$Q$69</definedName>
    <definedName name="VNR_Subestaciones_Conexión">[5]VNR!$G$48</definedName>
    <definedName name="VNR_Subestaciones_Estrategicas">[5]VNR!$F$38</definedName>
    <definedName name="VNR_Subestaciones_SPT">[5]VNR!$F$32</definedName>
    <definedName name="vvvv">[11]IMP!$D$14</definedName>
    <definedName name="WACCna">#REF!</definedName>
    <definedName name="WACCnd">#REF!</definedName>
    <definedName name="WACCr">#REF!</definedName>
    <definedName name="WACCra">#REF!</definedName>
    <definedName name="WH">#REF!</definedName>
    <definedName name="WHC">#REF!</definedName>
    <definedName name="WHCO">#REF!</definedName>
    <definedName name="WHCR">#REF!</definedName>
    <definedName name="WHCS">#REF!</definedName>
    <definedName name="WHG">#REF!</definedName>
    <definedName name="WHH">#REF!</definedName>
    <definedName name="WORKSHEET">#REF!</definedName>
    <definedName name="WP">#REF!</definedName>
    <definedName name="WPC">#REF!</definedName>
    <definedName name="WPG">#REF!</definedName>
    <definedName name="WPH">#REF!</definedName>
    <definedName name="WSANO0PR">#REF!</definedName>
    <definedName name="WSANO0S">#REF!</definedName>
    <definedName name="WSGRID">#REF!</definedName>
    <definedName name="WSGRID0">#REF!</definedName>
    <definedName name="WSGRID10">#REF!</definedName>
    <definedName name="WSPRINT">#REF!</definedName>
    <definedName name="XX">[12]IMP!$D$10</definedName>
    <definedName name="xxx">[7]Hidrometeorología!$D$14</definedName>
    <definedName name="XXXX">[7]Hidrometeorología!$D$14</definedName>
    <definedName name="xxxxxx" hidden="1">#REF!</definedName>
    <definedName name="xxxxxxxxxxxxxxxxxxxx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1" i="35" l="1"/>
  <c r="H58" i="35"/>
  <c r="J57" i="35"/>
  <c r="H60" i="36"/>
  <c r="H54" i="36"/>
  <c r="K57" i="36"/>
  <c r="I61" i="36"/>
  <c r="E58" i="36"/>
  <c r="E61" i="36"/>
  <c r="G26" i="36"/>
  <c r="J61" i="36"/>
  <c r="D58" i="36"/>
  <c r="J60" i="36"/>
  <c r="C13" i="36"/>
  <c r="B57" i="36"/>
  <c r="L17" i="13"/>
  <c r="L16" i="13"/>
  <c r="L15" i="13"/>
  <c r="K17" i="13"/>
  <c r="K16" i="13"/>
  <c r="K15" i="13"/>
  <c r="J17" i="13"/>
  <c r="J16" i="13"/>
  <c r="J15" i="13"/>
  <c r="I17" i="13"/>
  <c r="I16" i="13"/>
  <c r="I15" i="13"/>
  <c r="H17" i="13"/>
  <c r="H16" i="13"/>
  <c r="H15" i="13"/>
  <c r="F17" i="13"/>
  <c r="F16" i="13"/>
  <c r="F15" i="13"/>
  <c r="E17" i="13"/>
  <c r="E16" i="13"/>
  <c r="E15" i="13"/>
  <c r="D17" i="13"/>
  <c r="D16" i="13"/>
  <c r="D15" i="13"/>
  <c r="L14" i="13"/>
  <c r="K14" i="13"/>
  <c r="J14" i="13"/>
  <c r="I14" i="13"/>
  <c r="H14" i="13"/>
  <c r="F14" i="13"/>
  <c r="E14" i="13"/>
  <c r="D14" i="13"/>
  <c r="G62" i="33"/>
  <c r="K61" i="33"/>
  <c r="J61" i="33"/>
  <c r="I61" i="33"/>
  <c r="H61" i="33"/>
  <c r="G61" i="33"/>
  <c r="F61" i="33"/>
  <c r="E61" i="33"/>
  <c r="D61" i="33"/>
  <c r="C61" i="33"/>
  <c r="B61" i="33"/>
  <c r="K60" i="33"/>
  <c r="J60" i="33"/>
  <c r="I60" i="33"/>
  <c r="H60" i="33"/>
  <c r="G60" i="33"/>
  <c r="F60" i="33"/>
  <c r="E60" i="33"/>
  <c r="D60" i="33"/>
  <c r="C60" i="33"/>
  <c r="B60" i="33"/>
  <c r="K58" i="33"/>
  <c r="J58" i="33"/>
  <c r="I58" i="33"/>
  <c r="H58" i="33"/>
  <c r="G58" i="33"/>
  <c r="F58" i="33"/>
  <c r="E58" i="33"/>
  <c r="D58" i="33"/>
  <c r="C58" i="33"/>
  <c r="B58" i="33"/>
  <c r="K57" i="33"/>
  <c r="J57" i="33"/>
  <c r="I57" i="33"/>
  <c r="H57" i="33"/>
  <c r="G57" i="33"/>
  <c r="F57" i="33"/>
  <c r="E57" i="33"/>
  <c r="D57" i="33"/>
  <c r="C57" i="33"/>
  <c r="B57" i="33"/>
  <c r="K55" i="33"/>
  <c r="K66" i="33" s="1"/>
  <c r="J55" i="33"/>
  <c r="I55" i="33"/>
  <c r="H55" i="33"/>
  <c r="G55" i="33"/>
  <c r="F55" i="33"/>
  <c r="E55" i="33"/>
  <c r="D55" i="33"/>
  <c r="C55" i="33"/>
  <c r="B55" i="33"/>
  <c r="K54" i="33"/>
  <c r="K65" i="33" s="1"/>
  <c r="J54" i="33"/>
  <c r="I54" i="33"/>
  <c r="I65" i="33" s="1"/>
  <c r="H54" i="33"/>
  <c r="G54" i="33"/>
  <c r="F54" i="33"/>
  <c r="F44" i="33" s="1"/>
  <c r="E54" i="33"/>
  <c r="E65" i="33" s="1"/>
  <c r="D54" i="33"/>
  <c r="D65" i="33" s="1"/>
  <c r="C54" i="33"/>
  <c r="B54" i="33"/>
  <c r="B40" i="33"/>
  <c r="B36" i="33"/>
  <c r="B35" i="33"/>
  <c r="B33" i="33"/>
  <c r="B32" i="33"/>
  <c r="B47" i="33" s="1"/>
  <c r="K26" i="33"/>
  <c r="J26" i="33"/>
  <c r="I26" i="33"/>
  <c r="H26" i="33"/>
  <c r="G26" i="33"/>
  <c r="F26" i="33"/>
  <c r="E26" i="33"/>
  <c r="D26" i="33"/>
  <c r="D45" i="33" s="1"/>
  <c r="C26" i="33"/>
  <c r="B26" i="33"/>
  <c r="K25" i="33"/>
  <c r="J25" i="33"/>
  <c r="J44" i="33" s="1"/>
  <c r="I25" i="33"/>
  <c r="H25" i="33"/>
  <c r="G25" i="33"/>
  <c r="F25" i="33"/>
  <c r="E25" i="33"/>
  <c r="D25" i="33"/>
  <c r="C25" i="33"/>
  <c r="B25" i="33"/>
  <c r="L25" i="33" s="1"/>
  <c r="K20" i="33"/>
  <c r="J20" i="33"/>
  <c r="I20" i="33"/>
  <c r="H20" i="33"/>
  <c r="G20" i="33"/>
  <c r="F20" i="33"/>
  <c r="E20" i="33"/>
  <c r="D20" i="33"/>
  <c r="C20" i="33"/>
  <c r="B20" i="33"/>
  <c r="K19" i="33"/>
  <c r="J19" i="33"/>
  <c r="I19" i="33"/>
  <c r="H19" i="33"/>
  <c r="G19" i="33"/>
  <c r="F19" i="33"/>
  <c r="E19" i="33"/>
  <c r="D19" i="33"/>
  <c r="C19" i="33"/>
  <c r="B19" i="33"/>
  <c r="M14" i="33"/>
  <c r="L14" i="33"/>
  <c r="K14" i="33"/>
  <c r="J14" i="33"/>
  <c r="I14" i="33"/>
  <c r="H14" i="33"/>
  <c r="G14" i="33"/>
  <c r="F14" i="33"/>
  <c r="E14" i="33"/>
  <c r="D14" i="33"/>
  <c r="C14" i="33"/>
  <c r="B14" i="33"/>
  <c r="M13" i="33"/>
  <c r="L13" i="33"/>
  <c r="K13" i="33"/>
  <c r="J13" i="33"/>
  <c r="I13" i="33"/>
  <c r="H13" i="33"/>
  <c r="G13" i="33"/>
  <c r="F13" i="33"/>
  <c r="E13" i="33"/>
  <c r="D13" i="33"/>
  <c r="C13" i="33"/>
  <c r="B13" i="33"/>
  <c r="M12" i="33"/>
  <c r="L12" i="33"/>
  <c r="K12" i="33"/>
  <c r="J12" i="33"/>
  <c r="I12" i="33"/>
  <c r="H12" i="33"/>
  <c r="G12" i="33"/>
  <c r="F12" i="33"/>
  <c r="A12" i="33" s="1"/>
  <c r="E12" i="33"/>
  <c r="D12" i="33"/>
  <c r="C12" i="33"/>
  <c r="B12" i="33"/>
  <c r="N12" i="33" s="1"/>
  <c r="G7" i="33"/>
  <c r="F7" i="33"/>
  <c r="E7" i="33"/>
  <c r="D7" i="33"/>
  <c r="C7" i="33"/>
  <c r="B7" i="33"/>
  <c r="F5" i="33"/>
  <c r="D5" i="33"/>
  <c r="B5" i="33"/>
  <c r="F4" i="33"/>
  <c r="D4" i="33"/>
  <c r="B4" i="33"/>
  <c r="D3" i="33"/>
  <c r="B3" i="33"/>
  <c r="C1" i="33"/>
  <c r="B1" i="33"/>
  <c r="G206" i="40"/>
  <c r="F206" i="40"/>
  <c r="G205" i="40"/>
  <c r="F205" i="40"/>
  <c r="G204" i="40"/>
  <c r="F204" i="40"/>
  <c r="D204" i="40"/>
  <c r="G203" i="40"/>
  <c r="F203" i="40"/>
  <c r="G202" i="40"/>
  <c r="F202" i="40"/>
  <c r="G201" i="40"/>
  <c r="F201" i="40"/>
  <c r="G200" i="40"/>
  <c r="F200" i="40"/>
  <c r="G199" i="40"/>
  <c r="F199" i="40"/>
  <c r="G198" i="40"/>
  <c r="F198" i="40"/>
  <c r="G197" i="40"/>
  <c r="F197" i="40"/>
  <c r="G196" i="40"/>
  <c r="F196" i="40"/>
  <c r="D196" i="40"/>
  <c r="G195" i="40"/>
  <c r="F195" i="40"/>
  <c r="G194" i="40"/>
  <c r="F194" i="40"/>
  <c r="G193" i="40"/>
  <c r="F193" i="40"/>
  <c r="D193" i="40"/>
  <c r="F192" i="40"/>
  <c r="G191" i="40"/>
  <c r="F191" i="40"/>
  <c r="G190" i="40"/>
  <c r="F190" i="40"/>
  <c r="G189" i="40"/>
  <c r="F189" i="40"/>
  <c r="G188" i="40"/>
  <c r="F188" i="40"/>
  <c r="D188" i="40"/>
  <c r="G187" i="40"/>
  <c r="F187" i="40"/>
  <c r="G186" i="40"/>
  <c r="F186" i="40"/>
  <c r="G185" i="40"/>
  <c r="F185" i="40"/>
  <c r="G184" i="40"/>
  <c r="F184" i="40"/>
  <c r="G183" i="40"/>
  <c r="F183" i="40"/>
  <c r="G182" i="40"/>
  <c r="F182" i="40"/>
  <c r="G181" i="40"/>
  <c r="F181" i="40"/>
  <c r="G180" i="40"/>
  <c r="F180" i="40"/>
  <c r="G179" i="40"/>
  <c r="F179" i="40"/>
  <c r="G178" i="40"/>
  <c r="F178" i="40"/>
  <c r="G177" i="40"/>
  <c r="F177" i="40"/>
  <c r="G176" i="40"/>
  <c r="F176" i="40"/>
  <c r="G175" i="40"/>
  <c r="F175" i="40"/>
  <c r="G174" i="40"/>
  <c r="F174" i="40"/>
  <c r="G173" i="40"/>
  <c r="F173" i="40"/>
  <c r="G172" i="40"/>
  <c r="F172" i="40"/>
  <c r="G171" i="40"/>
  <c r="F171" i="40"/>
  <c r="G170" i="40"/>
  <c r="F170" i="40"/>
  <c r="G169" i="40"/>
  <c r="F169" i="40"/>
  <c r="G168" i="40"/>
  <c r="F168" i="40"/>
  <c r="G167" i="40"/>
  <c r="F167" i="40"/>
  <c r="G166" i="40"/>
  <c r="F166" i="40"/>
  <c r="D166" i="40"/>
  <c r="G165" i="40"/>
  <c r="F165" i="40"/>
  <c r="G164" i="40"/>
  <c r="F164" i="40"/>
  <c r="G163" i="40"/>
  <c r="F163" i="40"/>
  <c r="G162" i="40"/>
  <c r="F162" i="40"/>
  <c r="G161" i="40"/>
  <c r="F161" i="40"/>
  <c r="G160" i="40"/>
  <c r="F160" i="40"/>
  <c r="G159" i="40"/>
  <c r="F159" i="40"/>
  <c r="G158" i="40"/>
  <c r="F158" i="40"/>
  <c r="G157" i="40"/>
  <c r="F157" i="40"/>
  <c r="G156" i="40"/>
  <c r="F156" i="40"/>
  <c r="G155" i="40"/>
  <c r="F155" i="40"/>
  <c r="G154" i="40"/>
  <c r="F154" i="40"/>
  <c r="G153" i="40"/>
  <c r="F153" i="40"/>
  <c r="G152" i="40"/>
  <c r="F152" i="40"/>
  <c r="G151" i="40"/>
  <c r="F151" i="40"/>
  <c r="G150" i="40"/>
  <c r="F150" i="40"/>
  <c r="G149" i="40"/>
  <c r="F149" i="40"/>
  <c r="G148" i="40"/>
  <c r="F148" i="40"/>
  <c r="G147" i="40"/>
  <c r="F147" i="40"/>
  <c r="G146" i="40"/>
  <c r="F146" i="40"/>
  <c r="G145" i="40"/>
  <c r="F145" i="40"/>
  <c r="G144" i="40"/>
  <c r="F144" i="40"/>
  <c r="G143" i="40"/>
  <c r="F143" i="40"/>
  <c r="G142" i="40"/>
  <c r="F142" i="40"/>
  <c r="G141" i="40"/>
  <c r="F141" i="40"/>
  <c r="G140" i="40"/>
  <c r="F140" i="40"/>
  <c r="G139" i="40"/>
  <c r="F139" i="40"/>
  <c r="G138" i="40"/>
  <c r="F138" i="40"/>
  <c r="G137" i="40"/>
  <c r="F137" i="40"/>
  <c r="G136" i="40"/>
  <c r="F136" i="40"/>
  <c r="G135" i="40"/>
  <c r="F135" i="40"/>
  <c r="G134" i="40"/>
  <c r="F134" i="40"/>
  <c r="G133" i="40"/>
  <c r="F133" i="40"/>
  <c r="G132" i="40"/>
  <c r="F132" i="40"/>
  <c r="G131" i="40"/>
  <c r="F131" i="40"/>
  <c r="G130" i="40"/>
  <c r="F130" i="40"/>
  <c r="G129" i="40"/>
  <c r="F129" i="40"/>
  <c r="G128" i="40"/>
  <c r="F128" i="40"/>
  <c r="G127" i="40"/>
  <c r="F127" i="40"/>
  <c r="G126" i="40"/>
  <c r="F126" i="40"/>
  <c r="G125" i="40"/>
  <c r="F125" i="40"/>
  <c r="G124" i="40"/>
  <c r="F124" i="40"/>
  <c r="G123" i="40"/>
  <c r="F123" i="40"/>
  <c r="G122" i="40"/>
  <c r="F122" i="40"/>
  <c r="G121" i="40"/>
  <c r="F121" i="40"/>
  <c r="G120" i="40"/>
  <c r="F120" i="40"/>
  <c r="G119" i="40"/>
  <c r="F119" i="40"/>
  <c r="G118" i="40"/>
  <c r="F118" i="40"/>
  <c r="G117" i="40"/>
  <c r="F117" i="40"/>
  <c r="D117" i="40"/>
  <c r="G116" i="40"/>
  <c r="F116" i="40"/>
  <c r="G115" i="40"/>
  <c r="F115" i="40"/>
  <c r="G114" i="40"/>
  <c r="F114" i="40"/>
  <c r="G113" i="40"/>
  <c r="F113" i="40"/>
  <c r="G112" i="40"/>
  <c r="F112" i="40"/>
  <c r="G111" i="40"/>
  <c r="F111" i="40"/>
  <c r="G110" i="40"/>
  <c r="F110" i="40"/>
  <c r="G109" i="40"/>
  <c r="F109" i="40"/>
  <c r="G108" i="40"/>
  <c r="F108" i="40"/>
  <c r="G107" i="40"/>
  <c r="F107" i="40"/>
  <c r="G106" i="40"/>
  <c r="F106" i="40"/>
  <c r="G105" i="40"/>
  <c r="F105" i="40"/>
  <c r="G104" i="40"/>
  <c r="F104" i="40"/>
  <c r="G103" i="40"/>
  <c r="F103" i="40"/>
  <c r="G102" i="40"/>
  <c r="F102" i="40"/>
  <c r="G101" i="40"/>
  <c r="F101" i="40"/>
  <c r="G100" i="40"/>
  <c r="F100" i="40"/>
  <c r="G99" i="40"/>
  <c r="F99" i="40"/>
  <c r="G98" i="40"/>
  <c r="F98" i="40"/>
  <c r="G97" i="40"/>
  <c r="F97" i="40"/>
  <c r="G96" i="40"/>
  <c r="F96" i="40"/>
  <c r="G95" i="40"/>
  <c r="F95" i="40"/>
  <c r="G94" i="40"/>
  <c r="F94" i="40"/>
  <c r="G93" i="40"/>
  <c r="F93" i="40"/>
  <c r="G92" i="40"/>
  <c r="F92" i="40"/>
  <c r="G91" i="40"/>
  <c r="F91" i="40"/>
  <c r="G90" i="40"/>
  <c r="F90" i="40"/>
  <c r="G89" i="40"/>
  <c r="F89" i="40"/>
  <c r="G88" i="40"/>
  <c r="F88" i="40"/>
  <c r="G87" i="40"/>
  <c r="F87" i="40"/>
  <c r="G86" i="40"/>
  <c r="F86" i="40"/>
  <c r="M85" i="40"/>
  <c r="L85" i="40"/>
  <c r="G85" i="40"/>
  <c r="F85" i="40"/>
  <c r="M84" i="40"/>
  <c r="L84" i="40"/>
  <c r="G84" i="40"/>
  <c r="F84" i="40"/>
  <c r="G83" i="40"/>
  <c r="F83" i="40"/>
  <c r="K82" i="40"/>
  <c r="G82" i="40"/>
  <c r="F82" i="40"/>
  <c r="G81" i="40"/>
  <c r="F81" i="40"/>
  <c r="M80" i="40"/>
  <c r="L80" i="40"/>
  <c r="G80" i="40"/>
  <c r="F80" i="40"/>
  <c r="M79" i="40"/>
  <c r="L79" i="40"/>
  <c r="G79" i="40"/>
  <c r="F79" i="40"/>
  <c r="G78" i="40"/>
  <c r="F78" i="40"/>
  <c r="M77" i="40"/>
  <c r="L77" i="40"/>
  <c r="G77" i="40"/>
  <c r="F77" i="40"/>
  <c r="G76" i="40"/>
  <c r="F76" i="40"/>
  <c r="K75" i="40"/>
  <c r="G75" i="40"/>
  <c r="F75" i="40"/>
  <c r="G74" i="40"/>
  <c r="F74" i="40"/>
  <c r="M73" i="40"/>
  <c r="L73" i="40"/>
  <c r="G73" i="40"/>
  <c r="F73" i="40"/>
  <c r="G72" i="40"/>
  <c r="F72" i="40"/>
  <c r="K71" i="40"/>
  <c r="G71" i="40"/>
  <c r="F71" i="40"/>
  <c r="G70" i="40"/>
  <c r="F70" i="40"/>
  <c r="M69" i="40"/>
  <c r="L69" i="40"/>
  <c r="G69" i="40"/>
  <c r="F69" i="40"/>
  <c r="M68" i="40"/>
  <c r="L68" i="40"/>
  <c r="G68" i="40"/>
  <c r="F68" i="40"/>
  <c r="M67" i="40"/>
  <c r="L67" i="40"/>
  <c r="G67" i="40"/>
  <c r="F67" i="40"/>
  <c r="M66" i="40"/>
  <c r="L66" i="40"/>
  <c r="G66" i="40"/>
  <c r="F66" i="40"/>
  <c r="G65" i="40"/>
  <c r="F65" i="40"/>
  <c r="M64" i="40"/>
  <c r="L64" i="40"/>
  <c r="G64" i="40"/>
  <c r="F64" i="40"/>
  <c r="M63" i="40"/>
  <c r="L63" i="40"/>
  <c r="G63" i="40"/>
  <c r="F63" i="40"/>
  <c r="M62" i="40"/>
  <c r="L62" i="40"/>
  <c r="G62" i="40"/>
  <c r="F62" i="40"/>
  <c r="G61" i="40"/>
  <c r="F61" i="40"/>
  <c r="G60" i="40"/>
  <c r="F60" i="40"/>
  <c r="M59" i="40"/>
  <c r="L59" i="40"/>
  <c r="G59" i="40"/>
  <c r="F59" i="40"/>
  <c r="M58" i="40"/>
  <c r="L58" i="40"/>
  <c r="G58" i="40"/>
  <c r="F58" i="40"/>
  <c r="D58" i="40"/>
  <c r="M57" i="40"/>
  <c r="L57" i="40"/>
  <c r="G57" i="40"/>
  <c r="F57" i="40"/>
  <c r="M56" i="40"/>
  <c r="L56" i="40"/>
  <c r="G56" i="40"/>
  <c r="F56" i="40"/>
  <c r="M55" i="40"/>
  <c r="L55" i="40"/>
  <c r="G55" i="40"/>
  <c r="F55" i="40"/>
  <c r="G54" i="40"/>
  <c r="F54" i="40"/>
  <c r="M53" i="40"/>
  <c r="L53" i="40"/>
  <c r="G53" i="40"/>
  <c r="F53" i="40"/>
  <c r="G52" i="40"/>
  <c r="F52" i="40"/>
  <c r="K51" i="40"/>
  <c r="G51" i="40"/>
  <c r="F51" i="40"/>
  <c r="G50" i="40"/>
  <c r="F50" i="40"/>
  <c r="M49" i="40"/>
  <c r="L49" i="40"/>
  <c r="G49" i="40"/>
  <c r="F49" i="40"/>
  <c r="M48" i="40"/>
  <c r="L48" i="40"/>
  <c r="G48" i="40"/>
  <c r="F48" i="40"/>
  <c r="G47" i="40"/>
  <c r="F47" i="40"/>
  <c r="M46" i="40"/>
  <c r="L46" i="40"/>
  <c r="G46" i="40"/>
  <c r="F46" i="40"/>
  <c r="M45" i="40"/>
  <c r="L45" i="40"/>
  <c r="G45" i="40"/>
  <c r="F45" i="40"/>
  <c r="D45" i="40"/>
  <c r="G44" i="40"/>
  <c r="F44" i="40"/>
  <c r="K43" i="40"/>
  <c r="G43" i="40"/>
  <c r="F43" i="40"/>
  <c r="G42" i="40"/>
  <c r="F42" i="40"/>
  <c r="M41" i="40"/>
  <c r="L41" i="40"/>
  <c r="G41" i="40"/>
  <c r="F41" i="40"/>
  <c r="G40" i="40"/>
  <c r="F40" i="40"/>
  <c r="M39" i="40"/>
  <c r="L39" i="40"/>
  <c r="G39" i="40"/>
  <c r="F39" i="40"/>
  <c r="G38" i="40"/>
  <c r="F38" i="40"/>
  <c r="M37" i="40"/>
  <c r="L37" i="40"/>
  <c r="G37" i="40"/>
  <c r="F37" i="40"/>
  <c r="D37" i="40"/>
  <c r="G36" i="40"/>
  <c r="F36" i="40"/>
  <c r="M35" i="40"/>
  <c r="L35" i="40"/>
  <c r="G35" i="40"/>
  <c r="F35" i="40"/>
  <c r="G34" i="40"/>
  <c r="F34" i="40"/>
  <c r="K33" i="40"/>
  <c r="G33" i="40"/>
  <c r="F33" i="40"/>
  <c r="G32" i="40"/>
  <c r="F32" i="40"/>
  <c r="M31" i="40"/>
  <c r="L31" i="40"/>
  <c r="G31" i="40"/>
  <c r="F31" i="40"/>
  <c r="M30" i="40"/>
  <c r="L30" i="40"/>
  <c r="G30" i="40"/>
  <c r="F30" i="40"/>
  <c r="G29" i="40"/>
  <c r="F29" i="40"/>
  <c r="K28" i="40"/>
  <c r="G28" i="40"/>
  <c r="F28" i="40"/>
  <c r="G27" i="40"/>
  <c r="F27" i="40"/>
  <c r="M26" i="40"/>
  <c r="L26" i="40"/>
  <c r="G26" i="40"/>
  <c r="F26" i="40"/>
  <c r="G25" i="40"/>
  <c r="F25" i="40"/>
  <c r="K24" i="40"/>
  <c r="L16" i="40" s="1"/>
  <c r="G24" i="40"/>
  <c r="F24" i="40"/>
  <c r="G23" i="40"/>
  <c r="F23" i="40"/>
  <c r="G22" i="40"/>
  <c r="F22" i="40"/>
  <c r="G21" i="40"/>
  <c r="F21" i="40"/>
  <c r="M20" i="40"/>
  <c r="L20" i="40"/>
  <c r="G20" i="40"/>
  <c r="F20" i="40"/>
  <c r="M19" i="40"/>
  <c r="L19" i="40"/>
  <c r="G19" i="40"/>
  <c r="F19" i="40"/>
  <c r="G18" i="40"/>
  <c r="F18" i="40"/>
  <c r="K17" i="40"/>
  <c r="D17" i="40"/>
  <c r="M12" i="40"/>
  <c r="M11" i="40"/>
  <c r="M7" i="40"/>
  <c r="F7" i="40"/>
  <c r="D7" i="40"/>
  <c r="M6" i="40"/>
  <c r="D5" i="40"/>
  <c r="C5" i="40"/>
  <c r="B5" i="40" s="1"/>
  <c r="D4" i="40"/>
  <c r="N3" i="40"/>
  <c r="C3" i="40"/>
  <c r="B3" i="40"/>
  <c r="N4" i="40" s="1"/>
  <c r="G62" i="34"/>
  <c r="K61" i="34"/>
  <c r="J61" i="34"/>
  <c r="I61" i="34"/>
  <c r="H61" i="34"/>
  <c r="G61" i="34"/>
  <c r="F61" i="34"/>
  <c r="E61" i="34"/>
  <c r="D61" i="34"/>
  <c r="C61" i="34"/>
  <c r="B61" i="34"/>
  <c r="K60" i="34"/>
  <c r="J60" i="34"/>
  <c r="I60" i="34"/>
  <c r="H60" i="34"/>
  <c r="G60" i="34"/>
  <c r="F60" i="34"/>
  <c r="E60" i="34"/>
  <c r="D60" i="34"/>
  <c r="C60" i="34"/>
  <c r="B60" i="34"/>
  <c r="K58" i="34"/>
  <c r="J58" i="34"/>
  <c r="I58" i="34"/>
  <c r="H58" i="34"/>
  <c r="G58" i="34"/>
  <c r="F58" i="34"/>
  <c r="E58" i="34"/>
  <c r="E66" i="34" s="1"/>
  <c r="D58" i="34"/>
  <c r="C58" i="34"/>
  <c r="B58" i="34"/>
  <c r="K57" i="34"/>
  <c r="J57" i="34"/>
  <c r="I57" i="34"/>
  <c r="H57" i="34"/>
  <c r="G57" i="34"/>
  <c r="F57" i="34"/>
  <c r="E57" i="34"/>
  <c r="D57" i="34"/>
  <c r="C57" i="34"/>
  <c r="B57" i="34"/>
  <c r="K55" i="34"/>
  <c r="J55" i="34"/>
  <c r="I55" i="34"/>
  <c r="H55" i="34"/>
  <c r="G55" i="34"/>
  <c r="F55" i="34"/>
  <c r="E55" i="34"/>
  <c r="D55" i="34"/>
  <c r="C55" i="34"/>
  <c r="B55" i="34"/>
  <c r="K54" i="34"/>
  <c r="K65" i="34" s="1"/>
  <c r="J54" i="34"/>
  <c r="J65" i="34" s="1"/>
  <c r="I54" i="34"/>
  <c r="H54" i="34"/>
  <c r="G54" i="34"/>
  <c r="F54" i="34"/>
  <c r="E54" i="34"/>
  <c r="E44" i="34" s="1"/>
  <c r="D54" i="34"/>
  <c r="C54" i="34"/>
  <c r="B54" i="34"/>
  <c r="B40" i="34"/>
  <c r="B36" i="34"/>
  <c r="B35" i="34"/>
  <c r="B33" i="34"/>
  <c r="B32" i="34"/>
  <c r="B47" i="34" s="1"/>
  <c r="K26" i="34"/>
  <c r="K45" i="34" s="1"/>
  <c r="J26" i="34"/>
  <c r="I26" i="34"/>
  <c r="H26" i="34"/>
  <c r="G26" i="34"/>
  <c r="F26" i="34"/>
  <c r="E26" i="34"/>
  <c r="E45" i="34" s="1"/>
  <c r="D26" i="34"/>
  <c r="D45" i="34" s="1"/>
  <c r="C26" i="34"/>
  <c r="B26" i="34"/>
  <c r="B45" i="34" s="1"/>
  <c r="K25" i="34"/>
  <c r="J25" i="34"/>
  <c r="I25" i="34"/>
  <c r="I44" i="34" s="1"/>
  <c r="H25" i="34"/>
  <c r="G25" i="34"/>
  <c r="F25" i="34"/>
  <c r="E25" i="34"/>
  <c r="D25" i="34"/>
  <c r="C25" i="34"/>
  <c r="B25" i="34"/>
  <c r="K20" i="34"/>
  <c r="J20" i="34"/>
  <c r="I20" i="34"/>
  <c r="H20" i="34"/>
  <c r="G20" i="34"/>
  <c r="F20" i="34"/>
  <c r="E20" i="34"/>
  <c r="D20" i="34"/>
  <c r="C20" i="34"/>
  <c r="B20" i="34"/>
  <c r="K19" i="34"/>
  <c r="J19" i="34"/>
  <c r="I19" i="34"/>
  <c r="H19" i="34"/>
  <c r="G19" i="34"/>
  <c r="F19" i="34"/>
  <c r="E19" i="34"/>
  <c r="D19" i="34"/>
  <c r="C19" i="34"/>
  <c r="B19" i="34"/>
  <c r="M14" i="34"/>
  <c r="L14" i="34"/>
  <c r="K14" i="34"/>
  <c r="J14" i="34"/>
  <c r="I14" i="34"/>
  <c r="H14" i="34"/>
  <c r="G14" i="34"/>
  <c r="F14" i="34"/>
  <c r="E14" i="34"/>
  <c r="D14" i="34"/>
  <c r="C14" i="34"/>
  <c r="B14" i="34"/>
  <c r="M13" i="34"/>
  <c r="L13" i="34"/>
  <c r="K13" i="34"/>
  <c r="J13" i="34"/>
  <c r="I13" i="34"/>
  <c r="H13" i="34"/>
  <c r="G13" i="34"/>
  <c r="F13" i="34"/>
  <c r="E13" i="34"/>
  <c r="D13" i="34"/>
  <c r="C13" i="34"/>
  <c r="B13" i="34"/>
  <c r="M12" i="34"/>
  <c r="L12" i="34"/>
  <c r="K12" i="34"/>
  <c r="J12" i="34"/>
  <c r="I12" i="34"/>
  <c r="H12" i="34"/>
  <c r="G12" i="34"/>
  <c r="F12" i="34"/>
  <c r="E12" i="34"/>
  <c r="A12" i="34" s="1"/>
  <c r="D12" i="34"/>
  <c r="C12" i="34"/>
  <c r="B12" i="34"/>
  <c r="N12" i="34" s="1"/>
  <c r="G7" i="34"/>
  <c r="F7" i="34"/>
  <c r="E7" i="34"/>
  <c r="D7" i="34"/>
  <c r="C7" i="34"/>
  <c r="B7" i="34"/>
  <c r="F5" i="34"/>
  <c r="D5" i="34"/>
  <c r="E5" i="34" s="1"/>
  <c r="B5" i="34"/>
  <c r="C5" i="34" s="1"/>
  <c r="F4" i="34"/>
  <c r="D4" i="34"/>
  <c r="B4" i="34"/>
  <c r="C4" i="34" s="1"/>
  <c r="C3" i="34" s="1"/>
  <c r="D3" i="34"/>
  <c r="B3" i="34"/>
  <c r="J3" i="34" s="1"/>
  <c r="C1" i="34"/>
  <c r="B1" i="34"/>
  <c r="G206" i="39"/>
  <c r="F206" i="39"/>
  <c r="G205" i="39"/>
  <c r="F205" i="39"/>
  <c r="G204" i="39"/>
  <c r="F204" i="39"/>
  <c r="D204" i="39"/>
  <c r="G203" i="39"/>
  <c r="F203" i="39"/>
  <c r="G202" i="39"/>
  <c r="F202" i="39"/>
  <c r="G201" i="39"/>
  <c r="F201" i="39"/>
  <c r="G200" i="39"/>
  <c r="F200" i="39"/>
  <c r="G199" i="39"/>
  <c r="F199" i="39"/>
  <c r="G198" i="39"/>
  <c r="F198" i="39"/>
  <c r="G197" i="39"/>
  <c r="F197" i="39"/>
  <c r="G196" i="39"/>
  <c r="F196" i="39"/>
  <c r="D196" i="39"/>
  <c r="G195" i="39"/>
  <c r="F195" i="39"/>
  <c r="G194" i="39"/>
  <c r="F194" i="39"/>
  <c r="G193" i="39"/>
  <c r="F193" i="39"/>
  <c r="D193" i="39"/>
  <c r="F192" i="39"/>
  <c r="G191" i="39"/>
  <c r="F191" i="39"/>
  <c r="G190" i="39"/>
  <c r="F190" i="39"/>
  <c r="G189" i="39"/>
  <c r="F189" i="39"/>
  <c r="G188" i="39"/>
  <c r="F188" i="39"/>
  <c r="D188" i="39"/>
  <c r="G187" i="39"/>
  <c r="F187" i="39"/>
  <c r="G186" i="39"/>
  <c r="F186" i="39"/>
  <c r="G185" i="39"/>
  <c r="F185" i="39"/>
  <c r="G184" i="39"/>
  <c r="F184" i="39"/>
  <c r="G183" i="39"/>
  <c r="F183" i="39"/>
  <c r="G182" i="39"/>
  <c r="F182" i="39"/>
  <c r="G181" i="39"/>
  <c r="F181" i="39"/>
  <c r="G180" i="39"/>
  <c r="F180" i="39"/>
  <c r="G179" i="39"/>
  <c r="F179" i="39"/>
  <c r="G178" i="39"/>
  <c r="F178" i="39"/>
  <c r="G177" i="39"/>
  <c r="F177" i="39"/>
  <c r="G176" i="39"/>
  <c r="F176" i="39"/>
  <c r="G175" i="39"/>
  <c r="F175" i="39"/>
  <c r="G174" i="39"/>
  <c r="F174" i="39"/>
  <c r="G173" i="39"/>
  <c r="F173" i="39"/>
  <c r="G172" i="39"/>
  <c r="F172" i="39"/>
  <c r="G171" i="39"/>
  <c r="F171" i="39"/>
  <c r="G170" i="39"/>
  <c r="F170" i="39"/>
  <c r="G169" i="39"/>
  <c r="F169" i="39"/>
  <c r="G168" i="39"/>
  <c r="F168" i="39"/>
  <c r="G167" i="39"/>
  <c r="F167" i="39"/>
  <c r="G166" i="39"/>
  <c r="F166" i="39"/>
  <c r="D166" i="39"/>
  <c r="G164" i="39"/>
  <c r="F164" i="39"/>
  <c r="G163" i="39"/>
  <c r="F163" i="39"/>
  <c r="G162" i="39"/>
  <c r="F162" i="39"/>
  <c r="G161" i="39"/>
  <c r="F161" i="39"/>
  <c r="G160" i="39"/>
  <c r="F160" i="39"/>
  <c r="G159" i="39"/>
  <c r="F159" i="39"/>
  <c r="G158" i="39"/>
  <c r="F158" i="39"/>
  <c r="G157" i="39"/>
  <c r="F157" i="39"/>
  <c r="G156" i="39"/>
  <c r="F156" i="39"/>
  <c r="G155" i="39"/>
  <c r="F155" i="39"/>
  <c r="G154" i="39"/>
  <c r="F154" i="39"/>
  <c r="G153" i="39"/>
  <c r="F153" i="39"/>
  <c r="G152" i="39"/>
  <c r="F152" i="39"/>
  <c r="G151" i="39"/>
  <c r="F151" i="39"/>
  <c r="G150" i="39"/>
  <c r="F150" i="39"/>
  <c r="G149" i="39"/>
  <c r="F149" i="39"/>
  <c r="G148" i="39"/>
  <c r="F148" i="39"/>
  <c r="G147" i="39"/>
  <c r="F147" i="39"/>
  <c r="G146" i="39"/>
  <c r="F146" i="39"/>
  <c r="G145" i="39"/>
  <c r="F145" i="39"/>
  <c r="G144" i="39"/>
  <c r="F144" i="39"/>
  <c r="G143" i="39"/>
  <c r="F143" i="39"/>
  <c r="G142" i="39"/>
  <c r="F142" i="39"/>
  <c r="G141" i="39"/>
  <c r="F141" i="39"/>
  <c r="G140" i="39"/>
  <c r="F140" i="39"/>
  <c r="G139" i="39"/>
  <c r="F139" i="39"/>
  <c r="G138" i="39"/>
  <c r="F138" i="39"/>
  <c r="G137" i="39"/>
  <c r="F137" i="39"/>
  <c r="G136" i="39"/>
  <c r="F136" i="39"/>
  <c r="G135" i="39"/>
  <c r="F135" i="39"/>
  <c r="G134" i="39"/>
  <c r="F134" i="39"/>
  <c r="G133" i="39"/>
  <c r="F133" i="39"/>
  <c r="G132" i="39"/>
  <c r="F132" i="39"/>
  <c r="G131" i="39"/>
  <c r="F131" i="39"/>
  <c r="G130" i="39"/>
  <c r="F130" i="39"/>
  <c r="G129" i="39"/>
  <c r="F129" i="39"/>
  <c r="G128" i="39"/>
  <c r="F128" i="39"/>
  <c r="G127" i="39"/>
  <c r="F127" i="39"/>
  <c r="G126" i="39"/>
  <c r="F126" i="39"/>
  <c r="G125" i="39"/>
  <c r="F125" i="39"/>
  <c r="G124" i="39"/>
  <c r="F124" i="39"/>
  <c r="G123" i="39"/>
  <c r="F123" i="39"/>
  <c r="G122" i="39"/>
  <c r="F122" i="39"/>
  <c r="G121" i="39"/>
  <c r="F121" i="39"/>
  <c r="G120" i="39"/>
  <c r="F120" i="39"/>
  <c r="G119" i="39"/>
  <c r="F119" i="39"/>
  <c r="G118" i="39"/>
  <c r="F118" i="39"/>
  <c r="G117" i="39"/>
  <c r="F117" i="39"/>
  <c r="D117" i="39"/>
  <c r="G115" i="39"/>
  <c r="F115" i="39"/>
  <c r="G114" i="39"/>
  <c r="F114" i="39"/>
  <c r="G113" i="39"/>
  <c r="F113" i="39"/>
  <c r="G112" i="39"/>
  <c r="F112" i="39"/>
  <c r="G111" i="39"/>
  <c r="F111" i="39"/>
  <c r="G110" i="39"/>
  <c r="F110" i="39"/>
  <c r="G109" i="39"/>
  <c r="F109" i="39"/>
  <c r="G108" i="39"/>
  <c r="F108" i="39"/>
  <c r="G107" i="39"/>
  <c r="F107" i="39"/>
  <c r="G106" i="39"/>
  <c r="F106" i="39"/>
  <c r="G105" i="39"/>
  <c r="F105" i="39"/>
  <c r="G104" i="39"/>
  <c r="F104" i="39"/>
  <c r="G103" i="39"/>
  <c r="F103" i="39"/>
  <c r="G102" i="39"/>
  <c r="F102" i="39"/>
  <c r="G101" i="39"/>
  <c r="F101" i="39"/>
  <c r="G100" i="39"/>
  <c r="F100" i="39"/>
  <c r="G99" i="39"/>
  <c r="F99" i="39"/>
  <c r="G98" i="39"/>
  <c r="F98" i="39"/>
  <c r="G97" i="39"/>
  <c r="F97" i="39"/>
  <c r="G96" i="39"/>
  <c r="F96" i="39"/>
  <c r="G95" i="39"/>
  <c r="F95" i="39"/>
  <c r="G94" i="39"/>
  <c r="F94" i="39"/>
  <c r="G93" i="39"/>
  <c r="F93" i="39"/>
  <c r="G92" i="39"/>
  <c r="F92" i="39"/>
  <c r="G91" i="39"/>
  <c r="F91" i="39"/>
  <c r="G90" i="39"/>
  <c r="F90" i="39"/>
  <c r="G89" i="39"/>
  <c r="F89" i="39"/>
  <c r="G88" i="39"/>
  <c r="F88" i="39"/>
  <c r="G87" i="39"/>
  <c r="F87" i="39"/>
  <c r="G86" i="39"/>
  <c r="F86" i="39"/>
  <c r="M85" i="39"/>
  <c r="L85" i="39"/>
  <c r="G85" i="39"/>
  <c r="F85" i="39"/>
  <c r="M84" i="39"/>
  <c r="L84" i="39"/>
  <c r="G84" i="39"/>
  <c r="F84" i="39"/>
  <c r="G83" i="39"/>
  <c r="F83" i="39"/>
  <c r="K82" i="39"/>
  <c r="G82" i="39"/>
  <c r="F82" i="39"/>
  <c r="G81" i="39"/>
  <c r="F81" i="39"/>
  <c r="M80" i="39"/>
  <c r="L80" i="39"/>
  <c r="G80" i="39"/>
  <c r="F80" i="39"/>
  <c r="M79" i="39"/>
  <c r="L79" i="39"/>
  <c r="G79" i="39"/>
  <c r="F79" i="39"/>
  <c r="G78" i="39"/>
  <c r="F78" i="39"/>
  <c r="M77" i="39"/>
  <c r="L77" i="39"/>
  <c r="G77" i="39"/>
  <c r="F77" i="39"/>
  <c r="G76" i="39"/>
  <c r="F76" i="39"/>
  <c r="K75" i="39"/>
  <c r="M12" i="39" s="1"/>
  <c r="G75" i="39"/>
  <c r="F75" i="39"/>
  <c r="G74" i="39"/>
  <c r="F74" i="39"/>
  <c r="M73" i="39"/>
  <c r="L73" i="39"/>
  <c r="G73" i="39"/>
  <c r="F73" i="39"/>
  <c r="G72" i="39"/>
  <c r="F72" i="39"/>
  <c r="K71" i="39"/>
  <c r="G71" i="39"/>
  <c r="F71" i="39"/>
  <c r="G70" i="39"/>
  <c r="F70" i="39"/>
  <c r="M69" i="39"/>
  <c r="L69" i="39"/>
  <c r="G69" i="39"/>
  <c r="F69" i="39"/>
  <c r="M68" i="39"/>
  <c r="L68" i="39"/>
  <c r="G68" i="39"/>
  <c r="F68" i="39"/>
  <c r="M67" i="39"/>
  <c r="L67" i="39"/>
  <c r="G67" i="39"/>
  <c r="F67" i="39"/>
  <c r="M66" i="39"/>
  <c r="L66" i="39"/>
  <c r="G66" i="39"/>
  <c r="F66" i="39"/>
  <c r="G65" i="39"/>
  <c r="F65" i="39"/>
  <c r="M64" i="39"/>
  <c r="L64" i="39"/>
  <c r="G64" i="39"/>
  <c r="F64" i="39"/>
  <c r="M63" i="39"/>
  <c r="L63" i="39"/>
  <c r="G63" i="39"/>
  <c r="F63" i="39"/>
  <c r="M62" i="39"/>
  <c r="L62" i="39"/>
  <c r="G62" i="39"/>
  <c r="F62" i="39"/>
  <c r="G61" i="39"/>
  <c r="F61" i="39"/>
  <c r="G60" i="39"/>
  <c r="F60" i="39"/>
  <c r="M59" i="39"/>
  <c r="L59" i="39"/>
  <c r="G59" i="39"/>
  <c r="F59" i="39"/>
  <c r="M58" i="39"/>
  <c r="L58" i="39"/>
  <c r="G58" i="39"/>
  <c r="F58" i="39"/>
  <c r="D58" i="39"/>
  <c r="M57" i="39"/>
  <c r="L57" i="39"/>
  <c r="M56" i="39"/>
  <c r="L56" i="39"/>
  <c r="G56" i="39"/>
  <c r="F56" i="39"/>
  <c r="M55" i="39"/>
  <c r="L55" i="39"/>
  <c r="G55" i="39"/>
  <c r="F55" i="39"/>
  <c r="G54" i="39"/>
  <c r="F54" i="39"/>
  <c r="M53" i="39"/>
  <c r="L53" i="39"/>
  <c r="G53" i="39"/>
  <c r="F53" i="39"/>
  <c r="G52" i="39"/>
  <c r="F52" i="39"/>
  <c r="K51" i="39"/>
  <c r="G51" i="39"/>
  <c r="F51" i="39"/>
  <c r="G50" i="39"/>
  <c r="F50" i="39"/>
  <c r="M49" i="39"/>
  <c r="L49" i="39"/>
  <c r="G49" i="39"/>
  <c r="F49" i="39"/>
  <c r="M48" i="39"/>
  <c r="L48" i="39"/>
  <c r="G48" i="39"/>
  <c r="F48" i="39"/>
  <c r="G47" i="39"/>
  <c r="F47" i="39"/>
  <c r="M46" i="39"/>
  <c r="L46" i="39"/>
  <c r="G46" i="39"/>
  <c r="F46" i="39"/>
  <c r="M45" i="39"/>
  <c r="L45" i="39"/>
  <c r="G45" i="39"/>
  <c r="F45" i="39"/>
  <c r="D45" i="39"/>
  <c r="G44" i="39"/>
  <c r="F44" i="39"/>
  <c r="K43" i="39"/>
  <c r="G43" i="39"/>
  <c r="F43" i="39"/>
  <c r="G42" i="39"/>
  <c r="F42" i="39"/>
  <c r="M41" i="39"/>
  <c r="L41" i="39"/>
  <c r="G41" i="39"/>
  <c r="F41" i="39"/>
  <c r="G40" i="39"/>
  <c r="F40" i="39"/>
  <c r="M39" i="39"/>
  <c r="L39" i="39"/>
  <c r="G39" i="39"/>
  <c r="F39" i="39"/>
  <c r="G38" i="39"/>
  <c r="F38" i="39"/>
  <c r="M37" i="39"/>
  <c r="L37" i="39"/>
  <c r="G37" i="39"/>
  <c r="F37" i="39"/>
  <c r="D37" i="39"/>
  <c r="G36" i="39"/>
  <c r="F36" i="39"/>
  <c r="M35" i="39"/>
  <c r="L35" i="39"/>
  <c r="G35" i="39"/>
  <c r="F35" i="39"/>
  <c r="G34" i="39"/>
  <c r="F34" i="39"/>
  <c r="K33" i="39"/>
  <c r="G33" i="39"/>
  <c r="F33" i="39"/>
  <c r="G32" i="39"/>
  <c r="F32" i="39"/>
  <c r="M31" i="39"/>
  <c r="L31" i="39"/>
  <c r="G31" i="39"/>
  <c r="F31" i="39"/>
  <c r="M30" i="39"/>
  <c r="L30" i="39"/>
  <c r="G30" i="39"/>
  <c r="F30" i="39"/>
  <c r="G29" i="39"/>
  <c r="F29" i="39"/>
  <c r="K28" i="39"/>
  <c r="G28" i="39"/>
  <c r="F28" i="39"/>
  <c r="G27" i="39"/>
  <c r="F27" i="39"/>
  <c r="M26" i="39"/>
  <c r="L26" i="39"/>
  <c r="G26" i="39"/>
  <c r="F26" i="39"/>
  <c r="G25" i="39"/>
  <c r="F25" i="39"/>
  <c r="K24" i="39"/>
  <c r="G24" i="39"/>
  <c r="F24" i="39"/>
  <c r="G23" i="39"/>
  <c r="F23" i="39"/>
  <c r="G22" i="39"/>
  <c r="F22" i="39"/>
  <c r="G21" i="39"/>
  <c r="F21" i="39"/>
  <c r="M20" i="39"/>
  <c r="L20" i="39"/>
  <c r="G20" i="39"/>
  <c r="F20" i="39"/>
  <c r="M19" i="39"/>
  <c r="L19" i="39"/>
  <c r="G19" i="39"/>
  <c r="F19" i="39"/>
  <c r="G18" i="39"/>
  <c r="F18" i="39"/>
  <c r="K17" i="39"/>
  <c r="D17" i="39"/>
  <c r="L16" i="39"/>
  <c r="M11" i="39"/>
  <c r="M7" i="39"/>
  <c r="F7" i="39"/>
  <c r="D7" i="39"/>
  <c r="M6" i="39"/>
  <c r="D5" i="39"/>
  <c r="C5" i="39"/>
  <c r="D4" i="39"/>
  <c r="D3" i="39" s="1"/>
  <c r="E3" i="39" s="1"/>
  <c r="N3" i="39"/>
  <c r="C3" i="39"/>
  <c r="B3" i="39"/>
  <c r="B4" i="39" s="1"/>
  <c r="G62" i="35"/>
  <c r="K61" i="35"/>
  <c r="J61" i="35"/>
  <c r="I61" i="35"/>
  <c r="H61" i="35"/>
  <c r="F61" i="35"/>
  <c r="E61" i="35"/>
  <c r="D61" i="35"/>
  <c r="C61" i="35"/>
  <c r="B61" i="35"/>
  <c r="K60" i="35"/>
  <c r="J60" i="35"/>
  <c r="I60" i="35"/>
  <c r="H60" i="35"/>
  <c r="G60" i="35"/>
  <c r="F60" i="35"/>
  <c r="D60" i="35"/>
  <c r="C60" i="35"/>
  <c r="B60" i="35"/>
  <c r="K58" i="35"/>
  <c r="J58" i="35"/>
  <c r="I58" i="35"/>
  <c r="G58" i="35"/>
  <c r="F58" i="35"/>
  <c r="E58" i="35"/>
  <c r="D58" i="35"/>
  <c r="C58" i="35"/>
  <c r="B58" i="35"/>
  <c r="K57" i="35"/>
  <c r="I57" i="35"/>
  <c r="H57" i="35"/>
  <c r="G57" i="35"/>
  <c r="F57" i="35"/>
  <c r="E57" i="35"/>
  <c r="D57" i="35"/>
  <c r="C57" i="35"/>
  <c r="B57" i="35"/>
  <c r="K55" i="35"/>
  <c r="J55" i="35"/>
  <c r="I55" i="35"/>
  <c r="H55" i="35"/>
  <c r="G55" i="35"/>
  <c r="F55" i="35"/>
  <c r="E55" i="35"/>
  <c r="D55" i="35"/>
  <c r="C55" i="35"/>
  <c r="B55" i="35"/>
  <c r="K54" i="35"/>
  <c r="J54" i="35"/>
  <c r="I54" i="35"/>
  <c r="H54" i="35"/>
  <c r="G54" i="35"/>
  <c r="F54" i="35"/>
  <c r="E54" i="35"/>
  <c r="D54" i="35"/>
  <c r="C54" i="35"/>
  <c r="B40" i="35"/>
  <c r="B48" i="35" s="1"/>
  <c r="B36" i="35"/>
  <c r="B35" i="35"/>
  <c r="B33" i="35"/>
  <c r="B32" i="35"/>
  <c r="B47" i="35" s="1"/>
  <c r="K26" i="35"/>
  <c r="J26" i="35"/>
  <c r="H26" i="35"/>
  <c r="G26" i="35"/>
  <c r="E26" i="35"/>
  <c r="D26" i="35"/>
  <c r="D45" i="35" s="1"/>
  <c r="B26" i="35"/>
  <c r="K25" i="35"/>
  <c r="J25" i="35"/>
  <c r="I25" i="35"/>
  <c r="H25" i="35"/>
  <c r="G25" i="35"/>
  <c r="F25" i="35"/>
  <c r="D25" i="35"/>
  <c r="B25" i="35"/>
  <c r="K20" i="35"/>
  <c r="J20" i="35"/>
  <c r="I20" i="35"/>
  <c r="H20" i="35"/>
  <c r="G20" i="35"/>
  <c r="F20" i="35"/>
  <c r="E20" i="35"/>
  <c r="D20" i="35"/>
  <c r="C20" i="35"/>
  <c r="B20" i="35"/>
  <c r="K19" i="35"/>
  <c r="J19" i="35"/>
  <c r="I19" i="35"/>
  <c r="H19" i="35"/>
  <c r="G19" i="35"/>
  <c r="F19" i="35"/>
  <c r="E19" i="35"/>
  <c r="D19" i="35"/>
  <c r="C19" i="35"/>
  <c r="B19" i="35"/>
  <c r="G13" i="35"/>
  <c r="M12" i="35"/>
  <c r="L12" i="35"/>
  <c r="K12" i="35"/>
  <c r="J12" i="35"/>
  <c r="I12" i="35"/>
  <c r="H12" i="35"/>
  <c r="G12" i="35"/>
  <c r="F12" i="35"/>
  <c r="E12" i="35"/>
  <c r="D12" i="35"/>
  <c r="C12" i="35"/>
  <c r="B12" i="35"/>
  <c r="N12" i="35" s="1"/>
  <c r="G7" i="35"/>
  <c r="F7" i="35"/>
  <c r="E7" i="35"/>
  <c r="D7" i="35"/>
  <c r="C7" i="35"/>
  <c r="B7" i="35"/>
  <c r="F5" i="35"/>
  <c r="D5" i="35"/>
  <c r="B5" i="35"/>
  <c r="F4" i="35"/>
  <c r="D4" i="35"/>
  <c r="B4" i="35"/>
  <c r="C4" i="35" s="1"/>
  <c r="D3" i="35"/>
  <c r="B3" i="35"/>
  <c r="J4" i="35" s="1"/>
  <c r="C1" i="35"/>
  <c r="B1" i="35"/>
  <c r="G206" i="37"/>
  <c r="F206" i="37"/>
  <c r="G205" i="37"/>
  <c r="F205" i="37"/>
  <c r="G204" i="37"/>
  <c r="F204" i="37"/>
  <c r="D204" i="37"/>
  <c r="G203" i="37"/>
  <c r="F203" i="37"/>
  <c r="G202" i="37"/>
  <c r="F202" i="37"/>
  <c r="G201" i="37"/>
  <c r="F201" i="37"/>
  <c r="G200" i="37"/>
  <c r="F200" i="37"/>
  <c r="G199" i="37"/>
  <c r="F199" i="37"/>
  <c r="G198" i="37"/>
  <c r="F198" i="37"/>
  <c r="G197" i="37"/>
  <c r="F197" i="37"/>
  <c r="G196" i="37"/>
  <c r="F196" i="37"/>
  <c r="D196" i="37"/>
  <c r="G195" i="37"/>
  <c r="F195" i="37"/>
  <c r="G194" i="37"/>
  <c r="F194" i="37"/>
  <c r="G193" i="37"/>
  <c r="F193" i="37"/>
  <c r="D193" i="37"/>
  <c r="G192" i="37"/>
  <c r="F192" i="37"/>
  <c r="G191" i="37"/>
  <c r="F191" i="37"/>
  <c r="G190" i="37"/>
  <c r="F190" i="37"/>
  <c r="G189" i="37"/>
  <c r="F189" i="37"/>
  <c r="G188" i="37"/>
  <c r="F188" i="37"/>
  <c r="D188" i="37"/>
  <c r="G187" i="37"/>
  <c r="F187" i="37"/>
  <c r="G186" i="37"/>
  <c r="F186" i="37"/>
  <c r="G185" i="37"/>
  <c r="F185" i="37"/>
  <c r="G184" i="37"/>
  <c r="F184" i="37"/>
  <c r="G183" i="37"/>
  <c r="F183" i="37"/>
  <c r="G182" i="37"/>
  <c r="F182" i="37"/>
  <c r="G181" i="37"/>
  <c r="F181" i="37"/>
  <c r="G180" i="37"/>
  <c r="F180" i="37"/>
  <c r="G179" i="37"/>
  <c r="F179" i="37"/>
  <c r="G178" i="37"/>
  <c r="F178" i="37"/>
  <c r="G177" i="37"/>
  <c r="F177" i="37"/>
  <c r="G176" i="37"/>
  <c r="F176" i="37"/>
  <c r="G175" i="37"/>
  <c r="F175" i="37"/>
  <c r="G174" i="37"/>
  <c r="F174" i="37"/>
  <c r="G173" i="37"/>
  <c r="F173" i="37"/>
  <c r="G172" i="37"/>
  <c r="F172" i="37"/>
  <c r="G171" i="37"/>
  <c r="F171" i="37"/>
  <c r="G170" i="37"/>
  <c r="F170" i="37"/>
  <c r="G169" i="37"/>
  <c r="F169" i="37"/>
  <c r="G168" i="37"/>
  <c r="F168" i="37"/>
  <c r="G167" i="37"/>
  <c r="F167" i="37"/>
  <c r="G166" i="37"/>
  <c r="F166" i="37"/>
  <c r="D166" i="37"/>
  <c r="F165" i="37"/>
  <c r="G164" i="37"/>
  <c r="F164" i="37"/>
  <c r="G163" i="37"/>
  <c r="F163" i="37"/>
  <c r="G162" i="37"/>
  <c r="F162" i="37"/>
  <c r="G161" i="37"/>
  <c r="F161" i="37"/>
  <c r="G160" i="37"/>
  <c r="F160" i="37"/>
  <c r="G159" i="37"/>
  <c r="F159" i="37"/>
  <c r="G158" i="37"/>
  <c r="F158" i="37"/>
  <c r="G157" i="37"/>
  <c r="F157" i="37"/>
  <c r="G156" i="37"/>
  <c r="F156" i="37"/>
  <c r="G155" i="37"/>
  <c r="F155" i="37"/>
  <c r="G154" i="37"/>
  <c r="F154" i="37"/>
  <c r="G153" i="37"/>
  <c r="F153" i="37"/>
  <c r="G152" i="37"/>
  <c r="F152" i="37"/>
  <c r="G151" i="37"/>
  <c r="F151" i="37"/>
  <c r="G150" i="37"/>
  <c r="F150" i="37"/>
  <c r="G149" i="37"/>
  <c r="F149" i="37"/>
  <c r="G148" i="37"/>
  <c r="F148" i="37"/>
  <c r="G147" i="37"/>
  <c r="F147" i="37"/>
  <c r="G146" i="37"/>
  <c r="F146" i="37"/>
  <c r="G145" i="37"/>
  <c r="F145" i="37"/>
  <c r="G144" i="37"/>
  <c r="F144" i="37"/>
  <c r="G143" i="37"/>
  <c r="F143" i="37"/>
  <c r="G142" i="37"/>
  <c r="F142" i="37"/>
  <c r="G141" i="37"/>
  <c r="F141" i="37"/>
  <c r="G140" i="37"/>
  <c r="F140" i="37"/>
  <c r="G139" i="37"/>
  <c r="F139" i="37"/>
  <c r="G138" i="37"/>
  <c r="F138" i="37"/>
  <c r="G137" i="37"/>
  <c r="F137" i="37"/>
  <c r="G136" i="37"/>
  <c r="F136" i="37"/>
  <c r="G135" i="37"/>
  <c r="F135" i="37"/>
  <c r="G134" i="37"/>
  <c r="F134" i="37"/>
  <c r="G133" i="37"/>
  <c r="F133" i="37"/>
  <c r="G132" i="37"/>
  <c r="F132" i="37"/>
  <c r="G131" i="37"/>
  <c r="F131" i="37"/>
  <c r="G130" i="37"/>
  <c r="F130" i="37"/>
  <c r="G129" i="37"/>
  <c r="F129" i="37"/>
  <c r="G128" i="37"/>
  <c r="F128" i="37"/>
  <c r="G127" i="37"/>
  <c r="F127" i="37"/>
  <c r="G126" i="37"/>
  <c r="F126" i="37"/>
  <c r="G125" i="37"/>
  <c r="F125" i="37"/>
  <c r="G124" i="37"/>
  <c r="F124" i="37"/>
  <c r="G123" i="37"/>
  <c r="F123" i="37"/>
  <c r="G122" i="37"/>
  <c r="F122" i="37"/>
  <c r="G121" i="37"/>
  <c r="F121" i="37"/>
  <c r="G120" i="37"/>
  <c r="F120" i="37"/>
  <c r="G119" i="37"/>
  <c r="F119" i="37"/>
  <c r="G118" i="37"/>
  <c r="F118" i="37"/>
  <c r="G117" i="37"/>
  <c r="F117" i="37"/>
  <c r="D117" i="37"/>
  <c r="G115" i="37"/>
  <c r="F115" i="37"/>
  <c r="G114" i="37"/>
  <c r="F114" i="37"/>
  <c r="G113" i="37"/>
  <c r="F113" i="37"/>
  <c r="G112" i="37"/>
  <c r="F112" i="37"/>
  <c r="G111" i="37"/>
  <c r="F111" i="37"/>
  <c r="G110" i="37"/>
  <c r="F110" i="37"/>
  <c r="G109" i="37"/>
  <c r="F109" i="37"/>
  <c r="G108" i="37"/>
  <c r="F108" i="37"/>
  <c r="G107" i="37"/>
  <c r="F107" i="37"/>
  <c r="G106" i="37"/>
  <c r="F106" i="37"/>
  <c r="G105" i="37"/>
  <c r="F105" i="37"/>
  <c r="G104" i="37"/>
  <c r="F104" i="37"/>
  <c r="G103" i="37"/>
  <c r="F103" i="37"/>
  <c r="G102" i="37"/>
  <c r="F102" i="37"/>
  <c r="G101" i="37"/>
  <c r="F101" i="37"/>
  <c r="G100" i="37"/>
  <c r="F100" i="37"/>
  <c r="G99" i="37"/>
  <c r="F99" i="37"/>
  <c r="G98" i="37"/>
  <c r="F98" i="37"/>
  <c r="G97" i="37"/>
  <c r="F97" i="37"/>
  <c r="G96" i="37"/>
  <c r="F96" i="37"/>
  <c r="G95" i="37"/>
  <c r="F95" i="37"/>
  <c r="G94" i="37"/>
  <c r="F94" i="37"/>
  <c r="G93" i="37"/>
  <c r="F93" i="37"/>
  <c r="G92" i="37"/>
  <c r="F92" i="37"/>
  <c r="G91" i="37"/>
  <c r="F91" i="37"/>
  <c r="G90" i="37"/>
  <c r="F90" i="37"/>
  <c r="G89" i="37"/>
  <c r="F89" i="37"/>
  <c r="G88" i="37"/>
  <c r="F88" i="37"/>
  <c r="G87" i="37"/>
  <c r="F87" i="37"/>
  <c r="G86" i="37"/>
  <c r="F86" i="37"/>
  <c r="M85" i="37"/>
  <c r="L85" i="37"/>
  <c r="G85" i="37"/>
  <c r="F85" i="37"/>
  <c r="M84" i="37"/>
  <c r="L84" i="37"/>
  <c r="G84" i="37"/>
  <c r="F84" i="37"/>
  <c r="G83" i="37"/>
  <c r="F83" i="37"/>
  <c r="K82" i="37"/>
  <c r="G82" i="37"/>
  <c r="F82" i="37"/>
  <c r="G81" i="37"/>
  <c r="F81" i="37"/>
  <c r="M80" i="37"/>
  <c r="L80" i="37"/>
  <c r="G80" i="37"/>
  <c r="F80" i="37"/>
  <c r="M79" i="37"/>
  <c r="L79" i="37"/>
  <c r="G79" i="37"/>
  <c r="F79" i="37"/>
  <c r="G78" i="37"/>
  <c r="F78" i="37"/>
  <c r="M77" i="37"/>
  <c r="L77" i="37"/>
  <c r="G77" i="37"/>
  <c r="F77" i="37"/>
  <c r="G76" i="37"/>
  <c r="F76" i="37"/>
  <c r="K75" i="37"/>
  <c r="G75" i="37"/>
  <c r="F75" i="37"/>
  <c r="G74" i="37"/>
  <c r="F74" i="37"/>
  <c r="M73" i="37"/>
  <c r="L73" i="37"/>
  <c r="G73" i="37"/>
  <c r="F73" i="37"/>
  <c r="G72" i="37"/>
  <c r="F72" i="37"/>
  <c r="K71" i="37"/>
  <c r="G71" i="37"/>
  <c r="F71" i="37"/>
  <c r="G70" i="37"/>
  <c r="F70" i="37"/>
  <c r="M69" i="37"/>
  <c r="L69" i="37"/>
  <c r="G69" i="37"/>
  <c r="F69" i="37"/>
  <c r="M68" i="37"/>
  <c r="L68" i="37"/>
  <c r="G68" i="37"/>
  <c r="F68" i="37"/>
  <c r="M67" i="37"/>
  <c r="L67" i="37"/>
  <c r="G67" i="37"/>
  <c r="F67" i="37"/>
  <c r="M66" i="37"/>
  <c r="L66" i="37"/>
  <c r="G66" i="37"/>
  <c r="F66" i="37"/>
  <c r="G65" i="37"/>
  <c r="F65" i="37"/>
  <c r="M64" i="37"/>
  <c r="L64" i="37"/>
  <c r="G64" i="37"/>
  <c r="F64" i="37"/>
  <c r="M63" i="37"/>
  <c r="L63" i="37"/>
  <c r="G63" i="37"/>
  <c r="F63" i="37"/>
  <c r="M62" i="37"/>
  <c r="L62" i="37"/>
  <c r="G62" i="37"/>
  <c r="F62" i="37"/>
  <c r="G61" i="37"/>
  <c r="F61" i="37"/>
  <c r="G60" i="37"/>
  <c r="F60" i="37"/>
  <c r="M59" i="37"/>
  <c r="L59" i="37"/>
  <c r="G59" i="37"/>
  <c r="F59" i="37"/>
  <c r="M58" i="37"/>
  <c r="L58" i="37"/>
  <c r="G58" i="37"/>
  <c r="F58" i="37"/>
  <c r="D58" i="37"/>
  <c r="M57" i="37"/>
  <c r="L57" i="37"/>
  <c r="G57" i="37"/>
  <c r="F57" i="37"/>
  <c r="M56" i="37"/>
  <c r="L56" i="37"/>
  <c r="G56" i="37"/>
  <c r="F56" i="37"/>
  <c r="M55" i="37"/>
  <c r="L55" i="37"/>
  <c r="G55" i="37"/>
  <c r="F55" i="37"/>
  <c r="G54" i="37"/>
  <c r="F54" i="37"/>
  <c r="M53" i="37"/>
  <c r="L53" i="37"/>
  <c r="G53" i="37"/>
  <c r="F53" i="37"/>
  <c r="G52" i="37"/>
  <c r="F52" i="37"/>
  <c r="K51" i="37"/>
  <c r="G51" i="37"/>
  <c r="F51" i="37"/>
  <c r="G50" i="37"/>
  <c r="F50" i="37"/>
  <c r="M49" i="37"/>
  <c r="L49" i="37"/>
  <c r="G49" i="37"/>
  <c r="F49" i="37"/>
  <c r="M48" i="37"/>
  <c r="L48" i="37"/>
  <c r="G48" i="37"/>
  <c r="F48" i="37"/>
  <c r="G47" i="37"/>
  <c r="F47" i="37"/>
  <c r="M46" i="37"/>
  <c r="L46" i="37"/>
  <c r="G46" i="37"/>
  <c r="F46" i="37"/>
  <c r="M45" i="37"/>
  <c r="L45" i="37"/>
  <c r="G45" i="37"/>
  <c r="F45" i="37"/>
  <c r="D45" i="37"/>
  <c r="G44" i="37"/>
  <c r="F44" i="37"/>
  <c r="K43" i="37"/>
  <c r="G43" i="37"/>
  <c r="F43" i="37"/>
  <c r="G42" i="37"/>
  <c r="F42" i="37"/>
  <c r="M41" i="37"/>
  <c r="L41" i="37"/>
  <c r="G41" i="37"/>
  <c r="F41" i="37"/>
  <c r="G40" i="37"/>
  <c r="F40" i="37"/>
  <c r="M39" i="37"/>
  <c r="L39" i="37"/>
  <c r="G39" i="37"/>
  <c r="F39" i="37"/>
  <c r="G38" i="37"/>
  <c r="F38" i="37"/>
  <c r="M37" i="37"/>
  <c r="L37" i="37"/>
  <c r="G37" i="37"/>
  <c r="F37" i="37"/>
  <c r="D37" i="37"/>
  <c r="G36" i="37"/>
  <c r="F36" i="37"/>
  <c r="M35" i="37"/>
  <c r="L35" i="37"/>
  <c r="G35" i="37"/>
  <c r="F35" i="37"/>
  <c r="G34" i="37"/>
  <c r="F34" i="37"/>
  <c r="K33" i="37"/>
  <c r="G33" i="37"/>
  <c r="F33" i="37"/>
  <c r="G32" i="37"/>
  <c r="F32" i="37"/>
  <c r="M31" i="37"/>
  <c r="L31" i="37"/>
  <c r="G31" i="37"/>
  <c r="F31" i="37"/>
  <c r="M30" i="37"/>
  <c r="L30" i="37"/>
  <c r="G30" i="37"/>
  <c r="F30" i="37"/>
  <c r="G29" i="37"/>
  <c r="F29" i="37"/>
  <c r="K28" i="37"/>
  <c r="G28" i="37"/>
  <c r="F28" i="37"/>
  <c r="G27" i="37"/>
  <c r="F27" i="37"/>
  <c r="M26" i="37"/>
  <c r="L26" i="37"/>
  <c r="G26" i="37"/>
  <c r="F26" i="37"/>
  <c r="G25" i="37"/>
  <c r="F25" i="37"/>
  <c r="K24" i="37"/>
  <c r="L16" i="37" s="1"/>
  <c r="G24" i="37"/>
  <c r="F24" i="37"/>
  <c r="G23" i="37"/>
  <c r="F23" i="37"/>
  <c r="G22" i="37"/>
  <c r="F22" i="37"/>
  <c r="G21" i="37"/>
  <c r="F21" i="37"/>
  <c r="M20" i="37"/>
  <c r="L20" i="37"/>
  <c r="G20" i="37"/>
  <c r="F20" i="37"/>
  <c r="M19" i="37"/>
  <c r="L19" i="37"/>
  <c r="G19" i="37"/>
  <c r="F19" i="37"/>
  <c r="G18" i="37"/>
  <c r="F18" i="37"/>
  <c r="K17" i="37"/>
  <c r="D17" i="37"/>
  <c r="M12" i="37"/>
  <c r="M11" i="37"/>
  <c r="M7" i="37"/>
  <c r="F7" i="37"/>
  <c r="D7" i="37"/>
  <c r="M6" i="37"/>
  <c r="D5" i="37"/>
  <c r="C5" i="37"/>
  <c r="B5" i="37" s="1"/>
  <c r="D4" i="37"/>
  <c r="N3" i="37"/>
  <c r="C3" i="37"/>
  <c r="B3" i="37"/>
  <c r="N4" i="37" s="1"/>
  <c r="K61" i="36"/>
  <c r="G61" i="36"/>
  <c r="D61" i="36"/>
  <c r="C61" i="36"/>
  <c r="B61" i="36"/>
  <c r="K60" i="36"/>
  <c r="I60" i="36"/>
  <c r="G60" i="36"/>
  <c r="E60" i="36"/>
  <c r="D60" i="36"/>
  <c r="B60" i="36"/>
  <c r="K58" i="36"/>
  <c r="J58" i="36"/>
  <c r="I58" i="36"/>
  <c r="H58" i="36"/>
  <c r="G58" i="36"/>
  <c r="C58" i="36"/>
  <c r="B58" i="36"/>
  <c r="J57" i="36"/>
  <c r="I57" i="36"/>
  <c r="H57" i="36"/>
  <c r="G57" i="36"/>
  <c r="F57" i="36"/>
  <c r="E57" i="36"/>
  <c r="C57" i="36"/>
  <c r="K55" i="36"/>
  <c r="J55" i="36"/>
  <c r="J66" i="36" s="1"/>
  <c r="H55" i="36"/>
  <c r="G55" i="36"/>
  <c r="F55" i="36"/>
  <c r="E55" i="36"/>
  <c r="D55" i="36"/>
  <c r="D45" i="36" s="1"/>
  <c r="C55" i="36"/>
  <c r="B55" i="36"/>
  <c r="K54" i="36"/>
  <c r="J54" i="36"/>
  <c r="I54" i="36"/>
  <c r="G54" i="36"/>
  <c r="F54" i="36"/>
  <c r="E54" i="36"/>
  <c r="E65" i="36" s="1"/>
  <c r="D54" i="36"/>
  <c r="C54" i="36"/>
  <c r="B54" i="36"/>
  <c r="B40" i="36"/>
  <c r="B36" i="36"/>
  <c r="B35" i="36"/>
  <c r="B33" i="36"/>
  <c r="B32" i="36"/>
  <c r="B47" i="36" s="1"/>
  <c r="K26" i="36"/>
  <c r="J26" i="36"/>
  <c r="I26" i="36"/>
  <c r="F26" i="36"/>
  <c r="D26" i="36"/>
  <c r="C26" i="36"/>
  <c r="B26" i="36"/>
  <c r="K25" i="36"/>
  <c r="J25" i="36"/>
  <c r="I25" i="36"/>
  <c r="H25" i="36"/>
  <c r="G25" i="36"/>
  <c r="F25" i="36"/>
  <c r="D25" i="36"/>
  <c r="C25" i="36"/>
  <c r="B25" i="36"/>
  <c r="K20" i="36"/>
  <c r="J20" i="36"/>
  <c r="I20" i="36"/>
  <c r="H20" i="36"/>
  <c r="G20" i="36"/>
  <c r="F20" i="36"/>
  <c r="E20" i="36"/>
  <c r="D20" i="36"/>
  <c r="C20" i="36"/>
  <c r="B20" i="36"/>
  <c r="K19" i="36"/>
  <c r="J19" i="36"/>
  <c r="I19" i="36"/>
  <c r="H19" i="36"/>
  <c r="G19" i="36"/>
  <c r="F19" i="36"/>
  <c r="E19" i="36"/>
  <c r="D19" i="36"/>
  <c r="C19" i="36"/>
  <c r="B19" i="36"/>
  <c r="E14" i="36"/>
  <c r="B14" i="36"/>
  <c r="E13" i="36"/>
  <c r="M12" i="36"/>
  <c r="L12" i="36"/>
  <c r="K12" i="36"/>
  <c r="J12" i="36"/>
  <c r="I12" i="36"/>
  <c r="H12" i="36"/>
  <c r="G12" i="36"/>
  <c r="F12" i="36"/>
  <c r="E12" i="36"/>
  <c r="D12" i="36"/>
  <c r="C12" i="36"/>
  <c r="B12" i="36"/>
  <c r="N12" i="36" s="1"/>
  <c r="G7" i="36"/>
  <c r="F7" i="36"/>
  <c r="E7" i="36"/>
  <c r="D7" i="36"/>
  <c r="C7" i="36"/>
  <c r="B7" i="36"/>
  <c r="F5" i="36"/>
  <c r="D5" i="36"/>
  <c r="E5" i="36" s="1"/>
  <c r="B5" i="36"/>
  <c r="F4" i="36"/>
  <c r="D4" i="36"/>
  <c r="B4" i="36"/>
  <c r="D3" i="36"/>
  <c r="B3" i="36"/>
  <c r="C1" i="36"/>
  <c r="B1" i="36"/>
  <c r="G206" i="38"/>
  <c r="F206" i="38"/>
  <c r="G205" i="38"/>
  <c r="F205" i="38"/>
  <c r="G204" i="38"/>
  <c r="F204" i="38"/>
  <c r="D204" i="38"/>
  <c r="G203" i="38"/>
  <c r="F203" i="38"/>
  <c r="G202" i="38"/>
  <c r="F202" i="38"/>
  <c r="G201" i="38"/>
  <c r="F201" i="38"/>
  <c r="G200" i="38"/>
  <c r="F200" i="38"/>
  <c r="G199" i="38"/>
  <c r="F199" i="38"/>
  <c r="G198" i="38"/>
  <c r="F198" i="38"/>
  <c r="G197" i="38"/>
  <c r="F197" i="38"/>
  <c r="G196" i="38"/>
  <c r="F196" i="38"/>
  <c r="D196" i="38"/>
  <c r="M11" i="38" s="1"/>
  <c r="G195" i="38"/>
  <c r="F195" i="38"/>
  <c r="G194" i="38"/>
  <c r="F194" i="38"/>
  <c r="G193" i="38"/>
  <c r="F193" i="38"/>
  <c r="D193" i="38"/>
  <c r="F192" i="38"/>
  <c r="G191" i="38"/>
  <c r="F191" i="38"/>
  <c r="G190" i="38"/>
  <c r="F190" i="38"/>
  <c r="G189" i="38"/>
  <c r="F189" i="38"/>
  <c r="G188" i="38"/>
  <c r="F188" i="38"/>
  <c r="D188" i="38"/>
  <c r="G187" i="38"/>
  <c r="F187" i="38"/>
  <c r="G186" i="38"/>
  <c r="F186" i="38"/>
  <c r="G185" i="38"/>
  <c r="F185" i="38"/>
  <c r="G184" i="38"/>
  <c r="F184" i="38"/>
  <c r="G183" i="38"/>
  <c r="F183" i="38"/>
  <c r="G182" i="38"/>
  <c r="F182" i="38"/>
  <c r="G181" i="38"/>
  <c r="F181" i="38"/>
  <c r="G180" i="38"/>
  <c r="F180" i="38"/>
  <c r="G179" i="38"/>
  <c r="F179" i="38"/>
  <c r="G178" i="38"/>
  <c r="F178" i="38"/>
  <c r="G177" i="38"/>
  <c r="F177" i="38"/>
  <c r="G176" i="38"/>
  <c r="F176" i="38"/>
  <c r="G175" i="38"/>
  <c r="F175" i="38"/>
  <c r="G174" i="38"/>
  <c r="F174" i="38"/>
  <c r="G173" i="38"/>
  <c r="F173" i="38"/>
  <c r="G172" i="38"/>
  <c r="F172" i="38"/>
  <c r="G171" i="38"/>
  <c r="F171" i="38"/>
  <c r="G170" i="38"/>
  <c r="F170" i="38"/>
  <c r="G169" i="38"/>
  <c r="F169" i="38"/>
  <c r="G168" i="38"/>
  <c r="F168" i="38"/>
  <c r="G167" i="38"/>
  <c r="F167" i="38"/>
  <c r="G166" i="38"/>
  <c r="F166" i="38"/>
  <c r="D166" i="38"/>
  <c r="G165" i="38"/>
  <c r="F165" i="38"/>
  <c r="G164" i="38"/>
  <c r="F164" i="38"/>
  <c r="G163" i="38"/>
  <c r="F163" i="38"/>
  <c r="G162" i="38"/>
  <c r="F162" i="38"/>
  <c r="G161" i="38"/>
  <c r="F161" i="38"/>
  <c r="G160" i="38"/>
  <c r="F160" i="38"/>
  <c r="G159" i="38"/>
  <c r="F159" i="38"/>
  <c r="G158" i="38"/>
  <c r="F158" i="38"/>
  <c r="G157" i="38"/>
  <c r="F157" i="38"/>
  <c r="G156" i="38"/>
  <c r="F156" i="38"/>
  <c r="G155" i="38"/>
  <c r="F155" i="38"/>
  <c r="G154" i="38"/>
  <c r="F154" i="38"/>
  <c r="G153" i="38"/>
  <c r="F153" i="38"/>
  <c r="G152" i="38"/>
  <c r="F152" i="38"/>
  <c r="G151" i="38"/>
  <c r="F151" i="38"/>
  <c r="G150" i="38"/>
  <c r="F150" i="38"/>
  <c r="G149" i="38"/>
  <c r="F149" i="38"/>
  <c r="G148" i="38"/>
  <c r="F148" i="38"/>
  <c r="G147" i="38"/>
  <c r="F147" i="38"/>
  <c r="G146" i="38"/>
  <c r="F146" i="38"/>
  <c r="G145" i="38"/>
  <c r="F145" i="38"/>
  <c r="G144" i="38"/>
  <c r="F144" i="38"/>
  <c r="G143" i="38"/>
  <c r="F143" i="38"/>
  <c r="G142" i="38"/>
  <c r="F142" i="38"/>
  <c r="G141" i="38"/>
  <c r="F141" i="38"/>
  <c r="G140" i="38"/>
  <c r="F140" i="38"/>
  <c r="G139" i="38"/>
  <c r="F139" i="38"/>
  <c r="G138" i="38"/>
  <c r="F138" i="38"/>
  <c r="G137" i="38"/>
  <c r="F137" i="38"/>
  <c r="G136" i="38"/>
  <c r="F136" i="38"/>
  <c r="G135" i="38"/>
  <c r="F135" i="38"/>
  <c r="G134" i="38"/>
  <c r="F134" i="38"/>
  <c r="G133" i="38"/>
  <c r="F133" i="38"/>
  <c r="G132" i="38"/>
  <c r="F132" i="38"/>
  <c r="G131" i="38"/>
  <c r="F131" i="38"/>
  <c r="G130" i="38"/>
  <c r="F130" i="38"/>
  <c r="G129" i="38"/>
  <c r="F129" i="38"/>
  <c r="G128" i="38"/>
  <c r="F128" i="38"/>
  <c r="G127" i="38"/>
  <c r="F127" i="38"/>
  <c r="G126" i="38"/>
  <c r="F126" i="38"/>
  <c r="G125" i="38"/>
  <c r="F125" i="38"/>
  <c r="G124" i="38"/>
  <c r="F124" i="38"/>
  <c r="G123" i="38"/>
  <c r="F123" i="38"/>
  <c r="G122" i="38"/>
  <c r="F122" i="38"/>
  <c r="G121" i="38"/>
  <c r="F121" i="38"/>
  <c r="G120" i="38"/>
  <c r="F120" i="38"/>
  <c r="G119" i="38"/>
  <c r="F119" i="38"/>
  <c r="G118" i="38"/>
  <c r="F118" i="38"/>
  <c r="G117" i="38"/>
  <c r="F117" i="38"/>
  <c r="D117" i="38"/>
  <c r="G116" i="38"/>
  <c r="F116" i="38"/>
  <c r="G115" i="38"/>
  <c r="F115" i="38"/>
  <c r="G114" i="38"/>
  <c r="F114" i="38"/>
  <c r="G113" i="38"/>
  <c r="F113" i="38"/>
  <c r="G112" i="38"/>
  <c r="F112" i="38"/>
  <c r="G111" i="38"/>
  <c r="F111" i="38"/>
  <c r="G110" i="38"/>
  <c r="F110" i="38"/>
  <c r="G109" i="38"/>
  <c r="F109" i="38"/>
  <c r="G108" i="38"/>
  <c r="F108" i="38"/>
  <c r="G107" i="38"/>
  <c r="F107" i="38"/>
  <c r="G106" i="38"/>
  <c r="F106" i="38"/>
  <c r="G105" i="38"/>
  <c r="F105" i="38"/>
  <c r="G104" i="38"/>
  <c r="F104" i="38"/>
  <c r="G103" i="38"/>
  <c r="F103" i="38"/>
  <c r="G102" i="38"/>
  <c r="F102" i="38"/>
  <c r="G101" i="38"/>
  <c r="F101" i="38"/>
  <c r="G100" i="38"/>
  <c r="F100" i="38"/>
  <c r="G99" i="38"/>
  <c r="F99" i="38"/>
  <c r="G98" i="38"/>
  <c r="F98" i="38"/>
  <c r="G97" i="38"/>
  <c r="F97" i="38"/>
  <c r="G96" i="38"/>
  <c r="F96" i="38"/>
  <c r="G95" i="38"/>
  <c r="F95" i="38"/>
  <c r="G94" i="38"/>
  <c r="F94" i="38"/>
  <c r="G93" i="38"/>
  <c r="F93" i="38"/>
  <c r="G92" i="38"/>
  <c r="F92" i="38"/>
  <c r="G91" i="38"/>
  <c r="F91" i="38"/>
  <c r="G90" i="38"/>
  <c r="F90" i="38"/>
  <c r="G89" i="38"/>
  <c r="F89" i="38"/>
  <c r="G88" i="38"/>
  <c r="F88" i="38"/>
  <c r="G87" i="38"/>
  <c r="F87" i="38"/>
  <c r="G86" i="38"/>
  <c r="F86" i="38"/>
  <c r="M85" i="38"/>
  <c r="L85" i="38"/>
  <c r="G85" i="38"/>
  <c r="F85" i="38"/>
  <c r="M84" i="38"/>
  <c r="L84" i="38"/>
  <c r="G84" i="38"/>
  <c r="F84" i="38"/>
  <c r="G83" i="38"/>
  <c r="F83" i="38"/>
  <c r="K82" i="38"/>
  <c r="G82" i="38"/>
  <c r="F82" i="38"/>
  <c r="G81" i="38"/>
  <c r="F81" i="38"/>
  <c r="M80" i="38"/>
  <c r="L80" i="38"/>
  <c r="G80" i="38"/>
  <c r="F80" i="38"/>
  <c r="M79" i="38"/>
  <c r="L79" i="38"/>
  <c r="G79" i="38"/>
  <c r="F79" i="38"/>
  <c r="G78" i="38"/>
  <c r="F78" i="38"/>
  <c r="M77" i="38"/>
  <c r="L77" i="38"/>
  <c r="G77" i="38"/>
  <c r="F77" i="38"/>
  <c r="G76" i="38"/>
  <c r="F76" i="38"/>
  <c r="K75" i="38"/>
  <c r="G75" i="38"/>
  <c r="F75" i="38"/>
  <c r="G74" i="38"/>
  <c r="F74" i="38"/>
  <c r="M73" i="38"/>
  <c r="L73" i="38"/>
  <c r="G73" i="38"/>
  <c r="F73" i="38"/>
  <c r="G72" i="38"/>
  <c r="F72" i="38"/>
  <c r="K71" i="38"/>
  <c r="G71" i="38"/>
  <c r="F71" i="38"/>
  <c r="G70" i="38"/>
  <c r="F70" i="38"/>
  <c r="M69" i="38"/>
  <c r="L69" i="38"/>
  <c r="G69" i="38"/>
  <c r="F69" i="38"/>
  <c r="M68" i="38"/>
  <c r="L68" i="38"/>
  <c r="G68" i="38"/>
  <c r="F68" i="38"/>
  <c r="M67" i="38"/>
  <c r="L67" i="38"/>
  <c r="G67" i="38"/>
  <c r="F67" i="38"/>
  <c r="M66" i="38"/>
  <c r="L66" i="38"/>
  <c r="G66" i="38"/>
  <c r="F66" i="38"/>
  <c r="G65" i="38"/>
  <c r="F65" i="38"/>
  <c r="M64" i="38"/>
  <c r="L64" i="38"/>
  <c r="G64" i="38"/>
  <c r="F64" i="38"/>
  <c r="M63" i="38"/>
  <c r="L63" i="38"/>
  <c r="G63" i="38"/>
  <c r="F63" i="38"/>
  <c r="M62" i="38"/>
  <c r="L62" i="38"/>
  <c r="G62" i="38"/>
  <c r="F62" i="38"/>
  <c r="G61" i="38"/>
  <c r="F61" i="38"/>
  <c r="G60" i="38"/>
  <c r="F60" i="38"/>
  <c r="M59" i="38"/>
  <c r="L59" i="38"/>
  <c r="G59" i="38"/>
  <c r="F59" i="38"/>
  <c r="M58" i="38"/>
  <c r="L58" i="38"/>
  <c r="G58" i="38"/>
  <c r="F58" i="38"/>
  <c r="D58" i="38"/>
  <c r="M57" i="38"/>
  <c r="L57" i="38"/>
  <c r="G57" i="38"/>
  <c r="F57" i="38"/>
  <c r="M56" i="38"/>
  <c r="L56" i="38"/>
  <c r="G56" i="38"/>
  <c r="F56" i="38"/>
  <c r="M55" i="38"/>
  <c r="L55" i="38"/>
  <c r="G55" i="38"/>
  <c r="F55" i="38"/>
  <c r="G54" i="38"/>
  <c r="F54" i="38"/>
  <c r="M53" i="38"/>
  <c r="L53" i="38"/>
  <c r="G53" i="38"/>
  <c r="F53" i="38"/>
  <c r="G52" i="38"/>
  <c r="F52" i="38"/>
  <c r="K51" i="38"/>
  <c r="G51" i="38"/>
  <c r="F51" i="38"/>
  <c r="G50" i="38"/>
  <c r="F50" i="38"/>
  <c r="M49" i="38"/>
  <c r="L49" i="38"/>
  <c r="G49" i="38"/>
  <c r="F49" i="38"/>
  <c r="M48" i="38"/>
  <c r="L48" i="38"/>
  <c r="G48" i="38"/>
  <c r="F48" i="38"/>
  <c r="G47" i="38"/>
  <c r="F47" i="38"/>
  <c r="M46" i="38"/>
  <c r="L46" i="38"/>
  <c r="G46" i="38"/>
  <c r="F46" i="38"/>
  <c r="M45" i="38"/>
  <c r="L45" i="38"/>
  <c r="G45" i="38"/>
  <c r="F45" i="38"/>
  <c r="D45" i="38"/>
  <c r="G44" i="38"/>
  <c r="F44" i="38"/>
  <c r="K43" i="38"/>
  <c r="L16" i="38" s="1"/>
  <c r="G43" i="38"/>
  <c r="F43" i="38"/>
  <c r="G42" i="38"/>
  <c r="F42" i="38"/>
  <c r="M41" i="38"/>
  <c r="L41" i="38"/>
  <c r="G41" i="38"/>
  <c r="F41" i="38"/>
  <c r="G40" i="38"/>
  <c r="F40" i="38"/>
  <c r="M39" i="38"/>
  <c r="L39" i="38"/>
  <c r="G39" i="38"/>
  <c r="F39" i="38"/>
  <c r="G38" i="38"/>
  <c r="F38" i="38"/>
  <c r="M37" i="38"/>
  <c r="L37" i="38"/>
  <c r="G37" i="38"/>
  <c r="F37" i="38"/>
  <c r="D37" i="38"/>
  <c r="G36" i="38"/>
  <c r="F36" i="38"/>
  <c r="M35" i="38"/>
  <c r="L35" i="38"/>
  <c r="G35" i="38"/>
  <c r="F35" i="38"/>
  <c r="G34" i="38"/>
  <c r="F34" i="38"/>
  <c r="K33" i="38"/>
  <c r="G33" i="38"/>
  <c r="F33" i="38"/>
  <c r="G32" i="38"/>
  <c r="F32" i="38"/>
  <c r="M31" i="38"/>
  <c r="L31" i="38"/>
  <c r="G31" i="38"/>
  <c r="F31" i="38"/>
  <c r="M30" i="38"/>
  <c r="L30" i="38"/>
  <c r="G30" i="38"/>
  <c r="F30" i="38"/>
  <c r="G29" i="38"/>
  <c r="F29" i="38"/>
  <c r="K28" i="38"/>
  <c r="G28" i="38"/>
  <c r="F28" i="38"/>
  <c r="G27" i="38"/>
  <c r="F27" i="38"/>
  <c r="M26" i="38"/>
  <c r="L26" i="38"/>
  <c r="G26" i="38"/>
  <c r="F26" i="38"/>
  <c r="G25" i="38"/>
  <c r="F25" i="38"/>
  <c r="K24" i="38"/>
  <c r="G24" i="38"/>
  <c r="F24" i="38"/>
  <c r="G23" i="38"/>
  <c r="F23" i="38"/>
  <c r="G22" i="38"/>
  <c r="F22" i="38"/>
  <c r="G21" i="38"/>
  <c r="F21" i="38"/>
  <c r="M20" i="38"/>
  <c r="L20" i="38"/>
  <c r="G20" i="38"/>
  <c r="F20" i="38"/>
  <c r="M19" i="38"/>
  <c r="L19" i="38"/>
  <c r="G19" i="38"/>
  <c r="F19" i="38"/>
  <c r="G18" i="38"/>
  <c r="F18" i="38"/>
  <c r="K17" i="38"/>
  <c r="D17" i="38"/>
  <c r="M7" i="38"/>
  <c r="F7" i="38"/>
  <c r="D7" i="38"/>
  <c r="Q6" i="38"/>
  <c r="M6" i="38"/>
  <c r="Q5" i="38"/>
  <c r="D5" i="38"/>
  <c r="C5" i="38"/>
  <c r="B5" i="38" s="1"/>
  <c r="Q4" i="38"/>
  <c r="D4" i="38"/>
  <c r="F4" i="38" s="1"/>
  <c r="B4" i="38"/>
  <c r="Q3" i="38"/>
  <c r="C3" i="38"/>
  <c r="B3" i="38"/>
  <c r="N3" i="38" s="1"/>
  <c r="Q2" i="38"/>
  <c r="B14" i="35" l="1"/>
  <c r="E14" i="35"/>
  <c r="J14" i="35"/>
  <c r="C26" i="35"/>
  <c r="C45" i="35" s="1"/>
  <c r="C25" i="35"/>
  <c r="B54" i="35"/>
  <c r="L54" i="35" s="1"/>
  <c r="L3" i="35" s="1"/>
  <c r="L13" i="35"/>
  <c r="F26" i="35"/>
  <c r="E25" i="35"/>
  <c r="I26" i="35"/>
  <c r="F44" i="35"/>
  <c r="E60" i="35"/>
  <c r="L60" i="35" s="1"/>
  <c r="E5" i="35"/>
  <c r="I65" i="35"/>
  <c r="J65" i="35"/>
  <c r="F14" i="36"/>
  <c r="G13" i="36"/>
  <c r="F60" i="36"/>
  <c r="C60" i="36"/>
  <c r="I55" i="36"/>
  <c r="H61" i="36"/>
  <c r="G62" i="36"/>
  <c r="E26" i="36"/>
  <c r="E45" i="36" s="1"/>
  <c r="F61" i="36"/>
  <c r="F58" i="36"/>
  <c r="J44" i="36"/>
  <c r="K66" i="36"/>
  <c r="E25" i="36"/>
  <c r="H26" i="36"/>
  <c r="D57" i="36"/>
  <c r="K45" i="36"/>
  <c r="K44" i="36"/>
  <c r="C5" i="33"/>
  <c r="K44" i="33"/>
  <c r="J65" i="36"/>
  <c r="L58" i="34"/>
  <c r="C65" i="33"/>
  <c r="F5" i="37"/>
  <c r="C65" i="35"/>
  <c r="K44" i="34"/>
  <c r="E4" i="33"/>
  <c r="D65" i="35"/>
  <c r="J66" i="35"/>
  <c r="F4" i="39"/>
  <c r="E65" i="35"/>
  <c r="N13" i="34"/>
  <c r="L19" i="34"/>
  <c r="E4" i="34"/>
  <c r="D44" i="34"/>
  <c r="J66" i="34"/>
  <c r="B48" i="33"/>
  <c r="B66" i="36"/>
  <c r="L19" i="36"/>
  <c r="K66" i="35"/>
  <c r="J65" i="33"/>
  <c r="C4" i="36"/>
  <c r="E4" i="36"/>
  <c r="K65" i="35"/>
  <c r="E3" i="36"/>
  <c r="E3" i="34"/>
  <c r="L25" i="35"/>
  <c r="L58" i="35"/>
  <c r="C44" i="33"/>
  <c r="E45" i="33"/>
  <c r="L58" i="33"/>
  <c r="M58" i="33" s="1"/>
  <c r="G12" i="38"/>
  <c r="C66" i="36"/>
  <c r="J3" i="35"/>
  <c r="C44" i="35"/>
  <c r="E45" i="35"/>
  <c r="I44" i="35"/>
  <c r="L55" i="34"/>
  <c r="M55" i="34" s="1"/>
  <c r="L57" i="34"/>
  <c r="M58" i="34" s="1"/>
  <c r="L20" i="33"/>
  <c r="D44" i="33"/>
  <c r="L54" i="36"/>
  <c r="D66" i="36"/>
  <c r="L20" i="35"/>
  <c r="D44" i="35"/>
  <c r="K45" i="35"/>
  <c r="B66" i="35"/>
  <c r="L57" i="35"/>
  <c r="M57" i="35" s="1"/>
  <c r="C66" i="34"/>
  <c r="E65" i="34"/>
  <c r="C4" i="33"/>
  <c r="E44" i="33"/>
  <c r="B66" i="33"/>
  <c r="L57" i="33"/>
  <c r="L56" i="33" s="1"/>
  <c r="C44" i="36"/>
  <c r="E66" i="36"/>
  <c r="E44" i="35"/>
  <c r="C66" i="35"/>
  <c r="J44" i="34"/>
  <c r="L54" i="34"/>
  <c r="N13" i="33"/>
  <c r="L19" i="33"/>
  <c r="L26" i="33"/>
  <c r="C66" i="33"/>
  <c r="G11" i="38"/>
  <c r="B48" i="36"/>
  <c r="D44" i="36"/>
  <c r="F66" i="36"/>
  <c r="L61" i="36"/>
  <c r="K65" i="36"/>
  <c r="E4" i="35"/>
  <c r="E3" i="35" s="1"/>
  <c r="L19" i="35"/>
  <c r="D66" i="35"/>
  <c r="B48" i="34"/>
  <c r="C44" i="34"/>
  <c r="L54" i="33"/>
  <c r="D66" i="33"/>
  <c r="B45" i="33"/>
  <c r="G44" i="33"/>
  <c r="I66" i="33"/>
  <c r="G66" i="36"/>
  <c r="E66" i="35"/>
  <c r="F66" i="34"/>
  <c r="L61" i="34"/>
  <c r="H12" i="40"/>
  <c r="E66" i="33"/>
  <c r="F44" i="36"/>
  <c r="H66" i="36"/>
  <c r="L60" i="36"/>
  <c r="H12" i="37"/>
  <c r="C5" i="35"/>
  <c r="C3" i="35" s="1"/>
  <c r="F66" i="35"/>
  <c r="L61" i="35"/>
  <c r="L26" i="34"/>
  <c r="G66" i="34"/>
  <c r="K45" i="33"/>
  <c r="F66" i="33"/>
  <c r="L61" i="33"/>
  <c r="M61" i="33" s="1"/>
  <c r="C5" i="36"/>
  <c r="C3" i="36" s="1"/>
  <c r="L25" i="36"/>
  <c r="G44" i="36"/>
  <c r="I66" i="36"/>
  <c r="G66" i="35"/>
  <c r="L25" i="34"/>
  <c r="F44" i="34"/>
  <c r="H66" i="34"/>
  <c r="L60" i="34"/>
  <c r="E5" i="33"/>
  <c r="G66" i="33"/>
  <c r="H44" i="36"/>
  <c r="J45" i="36"/>
  <c r="L58" i="36"/>
  <c r="M58" i="36" s="1"/>
  <c r="J44" i="35"/>
  <c r="H66" i="35"/>
  <c r="G44" i="34"/>
  <c r="I66" i="34"/>
  <c r="H66" i="33"/>
  <c r="L60" i="33"/>
  <c r="L20" i="36"/>
  <c r="B45" i="36"/>
  <c r="I65" i="36"/>
  <c r="K44" i="35"/>
  <c r="G44" i="35"/>
  <c r="I66" i="35"/>
  <c r="H44" i="34"/>
  <c r="J45" i="34"/>
  <c r="H11" i="40"/>
  <c r="E44" i="36"/>
  <c r="L26" i="36"/>
  <c r="C45" i="36"/>
  <c r="L57" i="36"/>
  <c r="H11" i="37"/>
  <c r="B45" i="35"/>
  <c r="H44" i="35"/>
  <c r="J45" i="35"/>
  <c r="L20" i="34"/>
  <c r="G45" i="34"/>
  <c r="I65" i="34"/>
  <c r="K66" i="34"/>
  <c r="C45" i="33"/>
  <c r="H44" i="33"/>
  <c r="J45" i="33"/>
  <c r="C3" i="33"/>
  <c r="E3" i="33"/>
  <c r="L3" i="33"/>
  <c r="I44" i="33"/>
  <c r="J66" i="33"/>
  <c r="M51" i="33"/>
  <c r="B65" i="33"/>
  <c r="B44" i="33"/>
  <c r="J4" i="33"/>
  <c r="L55" i="33"/>
  <c r="F45" i="33"/>
  <c r="G45" i="33"/>
  <c r="F65" i="33"/>
  <c r="H45" i="33"/>
  <c r="G65" i="33"/>
  <c r="J3" i="33"/>
  <c r="I45" i="33"/>
  <c r="H65" i="33"/>
  <c r="N14" i="33"/>
  <c r="G38" i="33" s="1"/>
  <c r="F5" i="40"/>
  <c r="E11" i="40"/>
  <c r="F11" i="40"/>
  <c r="F12" i="40"/>
  <c r="G11" i="40"/>
  <c r="G12" i="40"/>
  <c r="D3" i="40"/>
  <c r="I11" i="40"/>
  <c r="I12" i="40"/>
  <c r="J11" i="40"/>
  <c r="J12" i="40"/>
  <c r="K11" i="40"/>
  <c r="K12" i="40"/>
  <c r="B4" i="40"/>
  <c r="F4" i="40" s="1"/>
  <c r="B11" i="40"/>
  <c r="B12" i="40"/>
  <c r="C11" i="40"/>
  <c r="C12" i="40"/>
  <c r="D11" i="40"/>
  <c r="D12" i="40"/>
  <c r="E12" i="40"/>
  <c r="L4" i="34"/>
  <c r="M57" i="34"/>
  <c r="L56" i="34"/>
  <c r="L3" i="34"/>
  <c r="M54" i="34"/>
  <c r="L53" i="34"/>
  <c r="L51" i="34"/>
  <c r="H62" i="34" s="1"/>
  <c r="M61" i="34"/>
  <c r="C45" i="34"/>
  <c r="M51" i="34"/>
  <c r="B65" i="34"/>
  <c r="B66" i="34"/>
  <c r="B44" i="34"/>
  <c r="C65" i="34"/>
  <c r="J4" i="34"/>
  <c r="D65" i="34"/>
  <c r="D66" i="34"/>
  <c r="F45" i="34"/>
  <c r="F65" i="34"/>
  <c r="H45" i="34"/>
  <c r="G65" i="34"/>
  <c r="I45" i="34"/>
  <c r="H65" i="34"/>
  <c r="N14" i="34"/>
  <c r="K29" i="34" s="1"/>
  <c r="C22" i="34"/>
  <c r="K11" i="39"/>
  <c r="K12" i="39"/>
  <c r="B11" i="39"/>
  <c r="E11" i="39"/>
  <c r="E5" i="39"/>
  <c r="C11" i="39"/>
  <c r="C12" i="39"/>
  <c r="B12" i="39"/>
  <c r="N4" i="39"/>
  <c r="D11" i="39"/>
  <c r="D12" i="39"/>
  <c r="B5" i="39"/>
  <c r="F5" i="39" s="1"/>
  <c r="E12" i="39"/>
  <c r="F11" i="39"/>
  <c r="F12" i="39"/>
  <c r="E4" i="39"/>
  <c r="G11" i="39"/>
  <c r="G12" i="39"/>
  <c r="H11" i="39"/>
  <c r="H12" i="39"/>
  <c r="I11" i="39"/>
  <c r="I12" i="39"/>
  <c r="J11" i="39"/>
  <c r="J12" i="39"/>
  <c r="M51" i="35"/>
  <c r="B44" i="35"/>
  <c r="L55" i="35"/>
  <c r="F45" i="35"/>
  <c r="A12" i="35"/>
  <c r="G45" i="35"/>
  <c r="F65" i="35"/>
  <c r="H45" i="35"/>
  <c r="G65" i="35"/>
  <c r="I45" i="35"/>
  <c r="H65" i="35"/>
  <c r="D12" i="37"/>
  <c r="D11" i="37"/>
  <c r="E11" i="37"/>
  <c r="E12" i="37"/>
  <c r="F11" i="37"/>
  <c r="F12" i="37"/>
  <c r="G11" i="37"/>
  <c r="G12" i="37"/>
  <c r="D3" i="37"/>
  <c r="I11" i="37"/>
  <c r="I12" i="37"/>
  <c r="J11" i="37"/>
  <c r="J12" i="37"/>
  <c r="K11" i="37"/>
  <c r="K12" i="37"/>
  <c r="B4" i="37"/>
  <c r="F4" i="37" s="1"/>
  <c r="B11" i="37"/>
  <c r="B12" i="37"/>
  <c r="C11" i="37"/>
  <c r="C12" i="37"/>
  <c r="L66" i="36"/>
  <c r="I44" i="36"/>
  <c r="M51" i="36"/>
  <c r="B65" i="36"/>
  <c r="B44" i="36"/>
  <c r="C65" i="36"/>
  <c r="L55" i="36"/>
  <c r="D65" i="36"/>
  <c r="F45" i="36"/>
  <c r="A12" i="36"/>
  <c r="G45" i="36"/>
  <c r="F65" i="36"/>
  <c r="H45" i="36"/>
  <c r="G65" i="36"/>
  <c r="I45" i="36"/>
  <c r="H65" i="36"/>
  <c r="F5" i="38"/>
  <c r="F12" i="38"/>
  <c r="Q7" i="38"/>
  <c r="F11" i="38"/>
  <c r="D3" i="38"/>
  <c r="E3" i="38" s="1"/>
  <c r="H11" i="38"/>
  <c r="H12" i="38"/>
  <c r="I11" i="38"/>
  <c r="I12" i="38"/>
  <c r="J11" i="38"/>
  <c r="J12" i="38"/>
  <c r="K11" i="38"/>
  <c r="K12" i="38"/>
  <c r="N4" i="38"/>
  <c r="M12" i="38"/>
  <c r="B11" i="38"/>
  <c r="B12" i="38"/>
  <c r="C11" i="38"/>
  <c r="C12" i="38"/>
  <c r="D11" i="38"/>
  <c r="D12" i="38"/>
  <c r="E11" i="38"/>
  <c r="E12" i="38"/>
  <c r="D14" i="35" l="1"/>
  <c r="B65" i="35"/>
  <c r="F13" i="35"/>
  <c r="F14" i="35"/>
  <c r="L26" i="35"/>
  <c r="B13" i="35"/>
  <c r="G14" i="35"/>
  <c r="M58" i="35"/>
  <c r="E13" i="35"/>
  <c r="C14" i="35"/>
  <c r="C13" i="35"/>
  <c r="L14" i="35"/>
  <c r="J13" i="35"/>
  <c r="G14" i="36"/>
  <c r="M14" i="36"/>
  <c r="I14" i="36"/>
  <c r="H14" i="36"/>
  <c r="M54" i="36"/>
  <c r="B13" i="36"/>
  <c r="K14" i="36"/>
  <c r="L13" i="36"/>
  <c r="C14" i="36"/>
  <c r="L14" i="36"/>
  <c r="F13" i="36"/>
  <c r="M13" i="36"/>
  <c r="K13" i="36"/>
  <c r="M60" i="36"/>
  <c r="D38" i="33"/>
  <c r="L66" i="33"/>
  <c r="I30" i="33"/>
  <c r="F30" i="33"/>
  <c r="J23" i="34"/>
  <c r="E38" i="34"/>
  <c r="B23" i="34"/>
  <c r="D30" i="33"/>
  <c r="M57" i="33"/>
  <c r="C23" i="33"/>
  <c r="B29" i="33"/>
  <c r="L56" i="36"/>
  <c r="M56" i="36" s="1"/>
  <c r="I30" i="34"/>
  <c r="B22" i="33"/>
  <c r="K23" i="33"/>
  <c r="M60" i="33"/>
  <c r="M60" i="34"/>
  <c r="G29" i="34"/>
  <c r="K22" i="34"/>
  <c r="G23" i="34"/>
  <c r="D23" i="34"/>
  <c r="M60" i="35"/>
  <c r="L66" i="35"/>
  <c r="M61" i="36"/>
  <c r="B38" i="34"/>
  <c r="E4" i="38"/>
  <c r="L3" i="36"/>
  <c r="M3" i="36" s="1"/>
  <c r="D30" i="34"/>
  <c r="F30" i="34"/>
  <c r="K23" i="34"/>
  <c r="H22" i="34"/>
  <c r="L59" i="33"/>
  <c r="M59" i="33" s="1"/>
  <c r="L59" i="36"/>
  <c r="M59" i="36" s="1"/>
  <c r="L56" i="35"/>
  <c r="M56" i="35" s="1"/>
  <c r="F38" i="34"/>
  <c r="D29" i="34"/>
  <c r="J22" i="34"/>
  <c r="D22" i="34"/>
  <c r="B30" i="33"/>
  <c r="M57" i="36"/>
  <c r="F29" i="34"/>
  <c r="C38" i="34"/>
  <c r="G22" i="34"/>
  <c r="L59" i="35"/>
  <c r="M59" i="35" s="1"/>
  <c r="C23" i="34"/>
  <c r="E30" i="34"/>
  <c r="J38" i="34"/>
  <c r="L59" i="34"/>
  <c r="M59" i="34" s="1"/>
  <c r="H38" i="33"/>
  <c r="M61" i="35"/>
  <c r="D38" i="34"/>
  <c r="B29" i="34"/>
  <c r="B30" i="34"/>
  <c r="H30" i="34"/>
  <c r="H23" i="34"/>
  <c r="M4" i="34"/>
  <c r="B22" i="34"/>
  <c r="C29" i="34"/>
  <c r="C30" i="34"/>
  <c r="J29" i="34"/>
  <c r="M54" i="33"/>
  <c r="F29" i="33"/>
  <c r="B38" i="33"/>
  <c r="L65" i="33"/>
  <c r="M56" i="33"/>
  <c r="I23" i="33"/>
  <c r="J30" i="33"/>
  <c r="G23" i="33"/>
  <c r="M66" i="33"/>
  <c r="G29" i="33"/>
  <c r="D29" i="33"/>
  <c r="J22" i="33"/>
  <c r="H22" i="33"/>
  <c r="H29" i="33"/>
  <c r="D23" i="33"/>
  <c r="F23" i="33"/>
  <c r="E23" i="33"/>
  <c r="L51" i="33"/>
  <c r="H62" i="33" s="1"/>
  <c r="C22" i="33"/>
  <c r="E38" i="33"/>
  <c r="C38" i="33"/>
  <c r="K38" i="33"/>
  <c r="D22" i="33"/>
  <c r="L53" i="33"/>
  <c r="M53" i="33" s="1"/>
  <c r="G30" i="33"/>
  <c r="E30" i="33"/>
  <c r="C30" i="33"/>
  <c r="K29" i="33"/>
  <c r="E29" i="33"/>
  <c r="C29" i="33"/>
  <c r="J23" i="33"/>
  <c r="H23" i="33"/>
  <c r="B23" i="33"/>
  <c r="K22" i="33"/>
  <c r="I22" i="33"/>
  <c r="G22" i="33"/>
  <c r="F38" i="33"/>
  <c r="I38" i="33"/>
  <c r="K30" i="33"/>
  <c r="J29" i="33"/>
  <c r="J38" i="33"/>
  <c r="H30" i="33"/>
  <c r="E22" i="33"/>
  <c r="M55" i="33"/>
  <c r="L4" i="33"/>
  <c r="M4" i="33" s="1"/>
  <c r="F22" i="33"/>
  <c r="I29" i="33"/>
  <c r="L11" i="40"/>
  <c r="E5" i="40"/>
  <c r="E3" i="40"/>
  <c r="L12" i="40"/>
  <c r="E4" i="40"/>
  <c r="L65" i="34"/>
  <c r="H38" i="34"/>
  <c r="L66" i="34"/>
  <c r="M66" i="34" s="1"/>
  <c r="I23" i="34"/>
  <c r="F22" i="34"/>
  <c r="M53" i="34"/>
  <c r="G38" i="34"/>
  <c r="I38" i="34"/>
  <c r="H29" i="34"/>
  <c r="K30" i="34"/>
  <c r="M3" i="34"/>
  <c r="E23" i="34"/>
  <c r="I29" i="34"/>
  <c r="F23" i="34"/>
  <c r="G30" i="34"/>
  <c r="I22" i="34"/>
  <c r="K38" i="34"/>
  <c r="E22" i="34"/>
  <c r="M56" i="34"/>
  <c r="E29" i="34"/>
  <c r="J30" i="34"/>
  <c r="L11" i="39"/>
  <c r="L12" i="39"/>
  <c r="M55" i="35"/>
  <c r="L4" i="35"/>
  <c r="M4" i="35" s="1"/>
  <c r="L65" i="35"/>
  <c r="M66" i="35"/>
  <c r="L51" i="35"/>
  <c r="H62" i="35" s="1"/>
  <c r="L53" i="35"/>
  <c r="M53" i="35" s="1"/>
  <c r="M54" i="35"/>
  <c r="M3" i="35"/>
  <c r="E3" i="37"/>
  <c r="E5" i="37"/>
  <c r="L12" i="37"/>
  <c r="L11" i="37"/>
  <c r="E4" i="37"/>
  <c r="M55" i="36"/>
  <c r="L4" i="36"/>
  <c r="L65" i="36"/>
  <c r="L51" i="36"/>
  <c r="H62" i="36" s="1"/>
  <c r="L53" i="36"/>
  <c r="M53" i="36" s="1"/>
  <c r="L11" i="38"/>
  <c r="E5" i="38"/>
  <c r="L12" i="38"/>
  <c r="G14" i="13"/>
  <c r="C14" i="13"/>
  <c r="L10" i="13"/>
  <c r="C10" i="13"/>
  <c r="D10" i="13"/>
  <c r="E10" i="13"/>
  <c r="C9" i="13"/>
  <c r="I8" i="13"/>
  <c r="D8" i="13"/>
  <c r="H8" i="13"/>
  <c r="L9" i="13"/>
  <c r="F7" i="13"/>
  <c r="F22" i="13" s="1"/>
  <c r="K10" i="13"/>
  <c r="J9" i="13"/>
  <c r="K9" i="13"/>
  <c r="K8" i="13"/>
  <c r="M13" i="35" l="1"/>
  <c r="K14" i="35"/>
  <c r="H13" i="35"/>
  <c r="M14" i="35"/>
  <c r="H14" i="35"/>
  <c r="I14" i="35"/>
  <c r="I13" i="35"/>
  <c r="N13" i="35"/>
  <c r="D13" i="35"/>
  <c r="K13" i="35"/>
  <c r="H13" i="36"/>
  <c r="D14" i="36"/>
  <c r="N13" i="36"/>
  <c r="D13" i="36"/>
  <c r="J13" i="36"/>
  <c r="J14" i="36"/>
  <c r="I13" i="36"/>
  <c r="M4" i="36"/>
  <c r="L22" i="33"/>
  <c r="L22" i="34"/>
  <c r="M52" i="36"/>
  <c r="M52" i="34"/>
  <c r="L23" i="34"/>
  <c r="L64" i="33"/>
  <c r="M65" i="33"/>
  <c r="M52" i="33"/>
  <c r="L23" i="33"/>
  <c r="M3" i="33"/>
  <c r="M65" i="34"/>
  <c r="L64" i="34"/>
  <c r="M52" i="35"/>
  <c r="M65" i="35"/>
  <c r="L64" i="35"/>
  <c r="M65" i="36"/>
  <c r="L64" i="36"/>
  <c r="M66" i="36"/>
  <c r="C17" i="13"/>
  <c r="G17" i="13"/>
  <c r="G16" i="13"/>
  <c r="C15" i="13"/>
  <c r="G15" i="13"/>
  <c r="J8" i="13"/>
  <c r="F10" i="13"/>
  <c r="F8" i="13"/>
  <c r="E9" i="13"/>
  <c r="E7" i="13"/>
  <c r="E22" i="13" s="1"/>
  <c r="I9" i="13"/>
  <c r="L8" i="13"/>
  <c r="D9" i="13"/>
  <c r="C16" i="13"/>
  <c r="H10" i="13"/>
  <c r="J10" i="13"/>
  <c r="C8" i="13"/>
  <c r="E8" i="13"/>
  <c r="I10" i="13"/>
  <c r="G10" i="13"/>
  <c r="H9" i="13"/>
  <c r="F9" i="13"/>
  <c r="G9" i="13"/>
  <c r="G8" i="13"/>
  <c r="C7" i="13"/>
  <c r="C22" i="13" s="1"/>
  <c r="G7" i="13"/>
  <c r="G22" i="13" s="1"/>
  <c r="D7" i="13"/>
  <c r="D22" i="13" s="1"/>
  <c r="K7" i="13"/>
  <c r="K22" i="13" s="1"/>
  <c r="H7" i="13"/>
  <c r="H22" i="13" s="1"/>
  <c r="L7" i="13"/>
  <c r="L22" i="13" s="1"/>
  <c r="J7" i="13"/>
  <c r="J22" i="13" s="1"/>
  <c r="I7" i="13"/>
  <c r="I22" i="13" s="1"/>
  <c r="J29" i="35" l="1"/>
  <c r="N14" i="35"/>
  <c r="H23" i="35"/>
  <c r="B23" i="35"/>
  <c r="F29" i="35"/>
  <c r="K30" i="35"/>
  <c r="H38" i="35"/>
  <c r="F23" i="35"/>
  <c r="E38" i="35"/>
  <c r="D30" i="35"/>
  <c r="B30" i="35"/>
  <c r="I22" i="35"/>
  <c r="K29" i="35"/>
  <c r="K23" i="35"/>
  <c r="I38" i="35"/>
  <c r="F22" i="35"/>
  <c r="G29" i="35"/>
  <c r="C29" i="35"/>
  <c r="J22" i="35"/>
  <c r="I23" i="35"/>
  <c r="C38" i="35"/>
  <c r="C23" i="35"/>
  <c r="G38" i="35"/>
  <c r="K38" i="35"/>
  <c r="D38" i="35"/>
  <c r="F38" i="35"/>
  <c r="H29" i="35"/>
  <c r="G22" i="35"/>
  <c r="G29" i="36"/>
  <c r="N14" i="36"/>
  <c r="G30" i="36"/>
  <c r="B30" i="36"/>
  <c r="E30" i="36"/>
  <c r="J29" i="36"/>
  <c r="J23" i="36"/>
  <c r="F38" i="36"/>
  <c r="I29" i="36"/>
  <c r="H29" i="36"/>
  <c r="G22" i="36"/>
  <c r="D23" i="36"/>
  <c r="F29" i="36"/>
  <c r="H30" i="36"/>
  <c r="K38" i="36"/>
  <c r="C29" i="36"/>
  <c r="I22" i="36"/>
  <c r="J38" i="36"/>
  <c r="E29" i="36"/>
  <c r="C30" i="36"/>
  <c r="F22" i="36"/>
  <c r="F23" i="36"/>
  <c r="H23" i="36"/>
  <c r="C22" i="36"/>
  <c r="K29" i="36"/>
  <c r="B38" i="36"/>
  <c r="D29" i="36"/>
  <c r="I23" i="36"/>
  <c r="F30" i="36"/>
  <c r="G38" i="36"/>
  <c r="D30" i="36"/>
  <c r="G23" i="36"/>
  <c r="E23" i="36"/>
  <c r="H22" i="36"/>
  <c r="I38" i="36"/>
  <c r="M64" i="33"/>
  <c r="E67" i="33"/>
  <c r="I68" i="33"/>
  <c r="B68" i="33"/>
  <c r="C67" i="33"/>
  <c r="G68" i="33"/>
  <c r="C68" i="33"/>
  <c r="D67" i="33"/>
  <c r="E68" i="33"/>
  <c r="I67" i="33"/>
  <c r="F68" i="33"/>
  <c r="K68" i="33"/>
  <c r="J67" i="33"/>
  <c r="H68" i="33"/>
  <c r="D68" i="33"/>
  <c r="K67" i="33"/>
  <c r="G67" i="33"/>
  <c r="F67" i="33"/>
  <c r="B67" i="33"/>
  <c r="J68" i="33"/>
  <c r="H67" i="33"/>
  <c r="M64" i="34"/>
  <c r="J67" i="34"/>
  <c r="H68" i="34"/>
  <c r="J68" i="34"/>
  <c r="C68" i="34"/>
  <c r="I68" i="34"/>
  <c r="E67" i="34"/>
  <c r="I67" i="34"/>
  <c r="K68" i="34"/>
  <c r="K67" i="34"/>
  <c r="E68" i="34"/>
  <c r="G68" i="34"/>
  <c r="F68" i="34"/>
  <c r="F67" i="34"/>
  <c r="C67" i="34"/>
  <c r="B67" i="34"/>
  <c r="G67" i="34"/>
  <c r="H67" i="34"/>
  <c r="B68" i="34"/>
  <c r="D67" i="34"/>
  <c r="D68" i="34"/>
  <c r="M64" i="35"/>
  <c r="E67" i="35"/>
  <c r="J67" i="35"/>
  <c r="G68" i="35"/>
  <c r="C68" i="35"/>
  <c r="D67" i="35"/>
  <c r="I68" i="35"/>
  <c r="F68" i="35"/>
  <c r="H68" i="35"/>
  <c r="I67" i="35"/>
  <c r="J68" i="35"/>
  <c r="K68" i="35"/>
  <c r="D68" i="35"/>
  <c r="K67" i="35"/>
  <c r="E68" i="35"/>
  <c r="B68" i="35"/>
  <c r="C67" i="35"/>
  <c r="H67" i="35"/>
  <c r="B67" i="35"/>
  <c r="G67" i="35"/>
  <c r="F67" i="35"/>
  <c r="M64" i="36"/>
  <c r="I67" i="36"/>
  <c r="H68" i="36"/>
  <c r="I68" i="36"/>
  <c r="D68" i="36"/>
  <c r="K68" i="36"/>
  <c r="J67" i="36"/>
  <c r="G68" i="36"/>
  <c r="F68" i="36"/>
  <c r="C68" i="36"/>
  <c r="B68" i="36"/>
  <c r="K67" i="36"/>
  <c r="E67" i="36"/>
  <c r="J68" i="36"/>
  <c r="E68" i="36"/>
  <c r="D67" i="36"/>
  <c r="F67" i="36"/>
  <c r="C67" i="36"/>
  <c r="H67" i="36"/>
  <c r="B67" i="36"/>
  <c r="G67" i="36"/>
  <c r="F23" i="13"/>
  <c r="E22" i="35" l="1"/>
  <c r="C30" i="35"/>
  <c r="B38" i="35"/>
  <c r="J30" i="35"/>
  <c r="J38" i="35"/>
  <c r="B29" i="35"/>
  <c r="D29" i="35"/>
  <c r="G30" i="35"/>
  <c r="E29" i="35"/>
  <c r="K22" i="35"/>
  <c r="B22" i="35"/>
  <c r="J23" i="35"/>
  <c r="D23" i="35"/>
  <c r="L23" i="35" s="1"/>
  <c r="I29" i="35"/>
  <c r="I30" i="35"/>
  <c r="F30" i="35"/>
  <c r="C22" i="35"/>
  <c r="G23" i="35"/>
  <c r="E23" i="35"/>
  <c r="E30" i="35"/>
  <c r="H30" i="35"/>
  <c r="H22" i="35"/>
  <c r="D22" i="35"/>
  <c r="E22" i="36"/>
  <c r="K23" i="36"/>
  <c r="J30" i="36"/>
  <c r="C23" i="36"/>
  <c r="D22" i="36"/>
  <c r="I30" i="36"/>
  <c r="H38" i="36"/>
  <c r="C38" i="36"/>
  <c r="D38" i="36"/>
  <c r="K22" i="36"/>
  <c r="B29" i="36"/>
  <c r="B23" i="36"/>
  <c r="K30" i="36"/>
  <c r="J22" i="36"/>
  <c r="B22" i="36"/>
  <c r="E38" i="36"/>
  <c r="I23" i="13"/>
  <c r="F24" i="13"/>
  <c r="G24" i="13"/>
  <c r="G23" i="13"/>
  <c r="H23" i="13"/>
  <c r="L22" i="35" l="1"/>
  <c r="L23" i="36"/>
  <c r="L22" i="36"/>
  <c r="M8" i="13"/>
  <c r="M10" i="13" l="1"/>
  <c r="M7" i="13"/>
  <c r="M9" i="13"/>
  <c r="F25" i="13" l="1"/>
  <c r="J25" i="13"/>
  <c r="I25" i="13"/>
  <c r="L25" i="13"/>
  <c r="K25" i="13"/>
  <c r="H25" i="13"/>
  <c r="E25" i="13"/>
  <c r="D25" i="13"/>
  <c r="J24" i="13"/>
  <c r="L24" i="13"/>
  <c r="K24" i="13"/>
  <c r="I24" i="13"/>
  <c r="H24" i="13"/>
  <c r="E24" i="13"/>
  <c r="D24" i="13"/>
  <c r="C24" i="13" l="1"/>
  <c r="G25" i="13"/>
  <c r="K23" i="13"/>
  <c r="J23" i="13"/>
  <c r="E23" i="13"/>
  <c r="C23" i="13" l="1"/>
  <c r="L23" i="13" l="1"/>
  <c r="M16" i="13"/>
  <c r="M17" i="13"/>
  <c r="C25" i="13"/>
  <c r="M14" i="13" l="1"/>
  <c r="D23" i="13"/>
  <c r="M1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Jorge Medina</author>
    <author>Enrique Hernandez Cárdenas</author>
  </authors>
  <commentList>
    <comment ref="H37" authorId="0" shapeId="0" xr:uid="{A1BA9920-368C-43FC-94EB-37AA3DC85913}">
      <text>
        <r>
          <rPr>
            <b/>
            <sz val="9"/>
            <color indexed="81"/>
            <rFont val="Tahoma"/>
            <family val="2"/>
          </rPr>
          <t>Jorge Medina:</t>
        </r>
        <r>
          <rPr>
            <sz val="9"/>
            <color indexed="81"/>
            <rFont val="Tahoma"/>
            <family val="2"/>
          </rPr>
          <t xml:space="preserve">
chitre 
penonome 
santiago</t>
        </r>
      </text>
    </comment>
    <comment ref="H46" authorId="0" shapeId="0" xr:uid="{9D2D20D6-74EB-4125-802A-3B97A4C99900}">
      <text>
        <r>
          <rPr>
            <b/>
            <sz val="9"/>
            <color indexed="81"/>
            <rFont val="Tahoma"/>
            <family val="2"/>
          </rPr>
          <t>Jorge Medina:</t>
        </r>
        <r>
          <rPr>
            <sz val="9"/>
            <color indexed="81"/>
            <rFont val="Tahoma"/>
            <family val="2"/>
          </rPr>
          <t xml:space="preserve">
el torno
burunga
chorrera</t>
        </r>
      </text>
    </comment>
    <comment ref="H48" authorId="0" shapeId="0" xr:uid="{3DE18BE0-B1EE-4E98-9532-B49069CF0B40}">
      <text>
        <r>
          <rPr>
            <b/>
            <sz val="9"/>
            <color indexed="81"/>
            <rFont val="Tahoma"/>
            <family val="2"/>
          </rPr>
          <t>Jorge Medina:</t>
        </r>
        <r>
          <rPr>
            <sz val="9"/>
            <color indexed="81"/>
            <rFont val="Tahoma"/>
            <family val="2"/>
          </rPr>
          <t xml:space="preserve">
plaza italia</t>
        </r>
      </text>
    </comment>
    <comment ref="H59" authorId="0" shapeId="0" xr:uid="{A660E287-501E-4A1A-B9FD-5DEC2A1F3F2F}">
      <text>
        <r>
          <rPr>
            <b/>
            <sz val="9"/>
            <color indexed="81"/>
            <rFont val="Tahoma"/>
            <family val="2"/>
          </rPr>
          <t>Jorge Medina:</t>
        </r>
        <r>
          <rPr>
            <sz val="9"/>
            <color indexed="81"/>
            <rFont val="Tahoma"/>
            <family val="2"/>
          </rPr>
          <t xml:space="preserve">
Pzatoc
faro
costae
pgolf
dona
pzacar</t>
        </r>
      </text>
    </comment>
    <comment ref="H69" authorId="0" shapeId="0" xr:uid="{3F4628D1-2728-4729-973D-2645623C2830}">
      <text>
        <r>
          <rPr>
            <b/>
            <sz val="9"/>
            <color indexed="81"/>
            <rFont val="Tahoma"/>
            <family val="2"/>
          </rPr>
          <t>Jorge Medina:</t>
        </r>
        <r>
          <rPr>
            <sz val="9"/>
            <color indexed="81"/>
            <rFont val="Tahoma"/>
            <family val="2"/>
          </rPr>
          <t xml:space="preserve">
Vporr
Ptapac
tmuert
albrook
Sanfco</t>
        </r>
      </text>
    </comment>
    <comment ref="H73" authorId="1" shapeId="0" xr:uid="{3DC0EF32-CA02-4D66-BB22-31B46B0241AF}">
      <text>
        <r>
          <rPr>
            <b/>
            <sz val="9"/>
            <color indexed="81"/>
            <rFont val="Tahoma"/>
            <family val="2"/>
          </rPr>
          <t>Enrique Hernandez Cárdenas:</t>
        </r>
        <r>
          <rPr>
            <sz val="9"/>
            <color indexed="81"/>
            <rFont val="Tahoma"/>
            <family val="2"/>
          </rPr>
          <t xml:space="preserve">
En el indicativo de demanda no aparece valores, se tomo en cuenta la información del periodo 2021-2029</t>
        </r>
      </text>
    </comment>
    <comment ref="H80" authorId="0" shapeId="0" xr:uid="{857CC4BE-50F5-4B1A-AD76-A381B3772B37}">
      <text>
        <r>
          <rPr>
            <b/>
            <sz val="9"/>
            <color indexed="81"/>
            <rFont val="Tahoma"/>
            <family val="2"/>
          </rPr>
          <t>Jorge Medina:</t>
        </r>
        <r>
          <rPr>
            <sz val="9"/>
            <color indexed="81"/>
            <rFont val="Tahoma"/>
            <family val="2"/>
          </rPr>
          <t xml:space="preserve">
col2k
porto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Jorge Medina</author>
    <author>Enrique Hernandez Cárdenas</author>
  </authors>
  <commentList>
    <comment ref="H37" authorId="0" shapeId="0" xr:uid="{5244927D-3057-485E-A991-A8B79BF131F8}">
      <text>
        <r>
          <rPr>
            <b/>
            <sz val="9"/>
            <color indexed="81"/>
            <rFont val="Tahoma"/>
            <family val="2"/>
          </rPr>
          <t>Jorge Medina:</t>
        </r>
        <r>
          <rPr>
            <sz val="9"/>
            <color indexed="81"/>
            <rFont val="Tahoma"/>
            <family val="2"/>
          </rPr>
          <t xml:space="preserve">
chitre 
penonome 
santiago</t>
        </r>
      </text>
    </comment>
    <comment ref="H46" authorId="0" shapeId="0" xr:uid="{D3FCBC71-E98C-4AAC-98A6-BE52842D9D3C}">
      <text>
        <r>
          <rPr>
            <b/>
            <sz val="9"/>
            <color indexed="81"/>
            <rFont val="Tahoma"/>
            <family val="2"/>
          </rPr>
          <t>Jorge Medina:</t>
        </r>
        <r>
          <rPr>
            <sz val="9"/>
            <color indexed="81"/>
            <rFont val="Tahoma"/>
            <family val="2"/>
          </rPr>
          <t xml:space="preserve">
el torno
burunga
chorrera</t>
        </r>
      </text>
    </comment>
    <comment ref="H48" authorId="0" shapeId="0" xr:uid="{90DF78A0-4F4A-4D8C-BADC-C055B86A218E}">
      <text>
        <r>
          <rPr>
            <b/>
            <sz val="9"/>
            <color indexed="81"/>
            <rFont val="Tahoma"/>
            <family val="2"/>
          </rPr>
          <t>Jorge Medina:</t>
        </r>
        <r>
          <rPr>
            <sz val="9"/>
            <color indexed="81"/>
            <rFont val="Tahoma"/>
            <family val="2"/>
          </rPr>
          <t xml:space="preserve">
plaza italia</t>
        </r>
      </text>
    </comment>
    <comment ref="H59" authorId="0" shapeId="0" xr:uid="{60D6A99F-D67C-4FE3-9AFD-DD8B1BBDCD89}">
      <text>
        <r>
          <rPr>
            <b/>
            <sz val="9"/>
            <color indexed="81"/>
            <rFont val="Tahoma"/>
            <family val="2"/>
          </rPr>
          <t>Jorge Medina:</t>
        </r>
        <r>
          <rPr>
            <sz val="9"/>
            <color indexed="81"/>
            <rFont val="Tahoma"/>
            <family val="2"/>
          </rPr>
          <t xml:space="preserve">
Pzatoc
faro
costae
pgolf
dona
pzacar</t>
        </r>
      </text>
    </comment>
    <comment ref="H69" authorId="0" shapeId="0" xr:uid="{A18DC7F7-6DDA-4381-8B07-99803911D4D6}">
      <text>
        <r>
          <rPr>
            <b/>
            <sz val="9"/>
            <color indexed="81"/>
            <rFont val="Tahoma"/>
            <family val="2"/>
          </rPr>
          <t>Jorge Medina:</t>
        </r>
        <r>
          <rPr>
            <sz val="9"/>
            <color indexed="81"/>
            <rFont val="Tahoma"/>
            <family val="2"/>
          </rPr>
          <t xml:space="preserve">
Vporr
Ptapac
tmuert
albrook
Sanfco</t>
        </r>
      </text>
    </comment>
    <comment ref="H73" authorId="1" shapeId="0" xr:uid="{5516270B-89D0-41FD-A5A1-841A0FD101EB}">
      <text>
        <r>
          <rPr>
            <b/>
            <sz val="9"/>
            <color indexed="81"/>
            <rFont val="Tahoma"/>
            <family val="2"/>
          </rPr>
          <t>Enrique Hernandez Cárdenas:</t>
        </r>
        <r>
          <rPr>
            <sz val="9"/>
            <color indexed="81"/>
            <rFont val="Tahoma"/>
            <family val="2"/>
          </rPr>
          <t xml:space="preserve">
En el indicativo de demanda no aparece valores, se tomo en cuenta la información del periodo 2021-2029</t>
        </r>
      </text>
    </comment>
    <comment ref="H80" authorId="0" shapeId="0" xr:uid="{012689C9-0A6D-4BE6-88E8-05779856194D}">
      <text>
        <r>
          <rPr>
            <b/>
            <sz val="9"/>
            <color indexed="81"/>
            <rFont val="Tahoma"/>
            <family val="2"/>
          </rPr>
          <t>Jorge Medina:</t>
        </r>
        <r>
          <rPr>
            <sz val="9"/>
            <color indexed="81"/>
            <rFont val="Tahoma"/>
            <family val="2"/>
          </rPr>
          <t xml:space="preserve">
col2k
porto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Jorge Medina</author>
    <author>Enrique Hernandez Cárdenas</author>
  </authors>
  <commentList>
    <comment ref="H37" authorId="0" shapeId="0" xr:uid="{64719894-6A37-4F58-8BF6-9B22B60D7B36}">
      <text>
        <r>
          <rPr>
            <b/>
            <sz val="9"/>
            <color indexed="81"/>
            <rFont val="Tahoma"/>
            <family val="2"/>
          </rPr>
          <t>Jorge Medina:</t>
        </r>
        <r>
          <rPr>
            <sz val="9"/>
            <color indexed="81"/>
            <rFont val="Tahoma"/>
            <family val="2"/>
          </rPr>
          <t xml:space="preserve">
chitre 
penonome 
santiago</t>
        </r>
      </text>
    </comment>
    <comment ref="H46" authorId="0" shapeId="0" xr:uid="{82B89772-0F9D-400D-B1A3-E7F829E9E6EA}">
      <text>
        <r>
          <rPr>
            <b/>
            <sz val="9"/>
            <color indexed="81"/>
            <rFont val="Tahoma"/>
            <family val="2"/>
          </rPr>
          <t>Jorge Medina:</t>
        </r>
        <r>
          <rPr>
            <sz val="9"/>
            <color indexed="81"/>
            <rFont val="Tahoma"/>
            <family val="2"/>
          </rPr>
          <t xml:space="preserve">
el torno
burunga
chorrera</t>
        </r>
      </text>
    </comment>
    <comment ref="H48" authorId="0" shapeId="0" xr:uid="{59D4034B-AEFB-4B9C-BB13-79103977D99B}">
      <text>
        <r>
          <rPr>
            <b/>
            <sz val="9"/>
            <color indexed="81"/>
            <rFont val="Tahoma"/>
            <family val="2"/>
          </rPr>
          <t>Jorge Medina:</t>
        </r>
        <r>
          <rPr>
            <sz val="9"/>
            <color indexed="81"/>
            <rFont val="Tahoma"/>
            <family val="2"/>
          </rPr>
          <t xml:space="preserve">
plaza italia</t>
        </r>
      </text>
    </comment>
    <comment ref="H59" authorId="0" shapeId="0" xr:uid="{5B38DCBF-BB86-431C-A04C-BC3C7DB1C26F}">
      <text>
        <r>
          <rPr>
            <b/>
            <sz val="9"/>
            <color indexed="81"/>
            <rFont val="Tahoma"/>
            <family val="2"/>
          </rPr>
          <t>Jorge Medina:</t>
        </r>
        <r>
          <rPr>
            <sz val="9"/>
            <color indexed="81"/>
            <rFont val="Tahoma"/>
            <family val="2"/>
          </rPr>
          <t xml:space="preserve">
Pzatoc
faro
costae
pgolf
dona
pzacar</t>
        </r>
      </text>
    </comment>
    <comment ref="H69" authorId="0" shapeId="0" xr:uid="{9FECCA39-2C2D-46BB-B2A0-082D096A72E6}">
      <text>
        <r>
          <rPr>
            <b/>
            <sz val="9"/>
            <color indexed="81"/>
            <rFont val="Tahoma"/>
            <family val="2"/>
          </rPr>
          <t>Jorge Medina:</t>
        </r>
        <r>
          <rPr>
            <sz val="9"/>
            <color indexed="81"/>
            <rFont val="Tahoma"/>
            <family val="2"/>
          </rPr>
          <t xml:space="preserve">
Vporr
Ptapac
tmuert
albrook
Sanfco</t>
        </r>
      </text>
    </comment>
    <comment ref="H73" authorId="1" shapeId="0" xr:uid="{1201813E-3300-46C8-B940-9F3CEC9DDE06}">
      <text>
        <r>
          <rPr>
            <b/>
            <sz val="9"/>
            <color indexed="81"/>
            <rFont val="Tahoma"/>
            <family val="2"/>
          </rPr>
          <t>Enrique Hernandez Cárdenas:</t>
        </r>
        <r>
          <rPr>
            <sz val="9"/>
            <color indexed="81"/>
            <rFont val="Tahoma"/>
            <family val="2"/>
          </rPr>
          <t xml:space="preserve">
En el indicativo de demanda no aparece valores, se tomo en cuenta la información del periodo 2021-2029</t>
        </r>
      </text>
    </comment>
    <comment ref="H80" authorId="0" shapeId="0" xr:uid="{24183EFF-ABF8-4E5C-ACC1-014DF2960E09}">
      <text>
        <r>
          <rPr>
            <b/>
            <sz val="9"/>
            <color indexed="81"/>
            <rFont val="Tahoma"/>
            <family val="2"/>
          </rPr>
          <t>Jorge Medina:</t>
        </r>
        <r>
          <rPr>
            <sz val="9"/>
            <color indexed="81"/>
            <rFont val="Tahoma"/>
            <family val="2"/>
          </rPr>
          <t xml:space="preserve">
col2k
porto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Jorge Medina</author>
    <author>Enrique Hernandez Cárdenas</author>
  </authors>
  <commentList>
    <comment ref="H37" authorId="0" shapeId="0" xr:uid="{B501EEDF-60E7-49DD-83DD-E6E328CAE4AE}">
      <text>
        <r>
          <rPr>
            <b/>
            <sz val="9"/>
            <color indexed="81"/>
            <rFont val="Tahoma"/>
            <family val="2"/>
          </rPr>
          <t>Jorge Medina:</t>
        </r>
        <r>
          <rPr>
            <sz val="9"/>
            <color indexed="81"/>
            <rFont val="Tahoma"/>
            <family val="2"/>
          </rPr>
          <t xml:space="preserve">
chitre 
penonome 
santiago</t>
        </r>
      </text>
    </comment>
    <comment ref="H46" authorId="0" shapeId="0" xr:uid="{D7B414A0-F454-4F60-BC6B-35D66DFC6BAE}">
      <text>
        <r>
          <rPr>
            <b/>
            <sz val="9"/>
            <color indexed="81"/>
            <rFont val="Tahoma"/>
            <family val="2"/>
          </rPr>
          <t>Jorge Medina:</t>
        </r>
        <r>
          <rPr>
            <sz val="9"/>
            <color indexed="81"/>
            <rFont val="Tahoma"/>
            <family val="2"/>
          </rPr>
          <t xml:space="preserve">
el torno
burunga
chorrera</t>
        </r>
      </text>
    </comment>
    <comment ref="H48" authorId="0" shapeId="0" xr:uid="{1FFEE169-B3B4-4D50-B278-C18C700CE9FC}">
      <text>
        <r>
          <rPr>
            <b/>
            <sz val="9"/>
            <color indexed="81"/>
            <rFont val="Tahoma"/>
            <family val="2"/>
          </rPr>
          <t>Jorge Medina:</t>
        </r>
        <r>
          <rPr>
            <sz val="9"/>
            <color indexed="81"/>
            <rFont val="Tahoma"/>
            <family val="2"/>
          </rPr>
          <t xml:space="preserve">
plaza italia</t>
        </r>
      </text>
    </comment>
    <comment ref="H59" authorId="0" shapeId="0" xr:uid="{74D55EFD-E5C5-4154-B2C5-8BA207194051}">
      <text>
        <r>
          <rPr>
            <b/>
            <sz val="9"/>
            <color indexed="81"/>
            <rFont val="Tahoma"/>
            <family val="2"/>
          </rPr>
          <t>Jorge Medina:</t>
        </r>
        <r>
          <rPr>
            <sz val="9"/>
            <color indexed="81"/>
            <rFont val="Tahoma"/>
            <family val="2"/>
          </rPr>
          <t xml:space="preserve">
Pzatoc
faro
costae
pgolf
dona
pzacar</t>
        </r>
      </text>
    </comment>
    <comment ref="H69" authorId="0" shapeId="0" xr:uid="{1387E190-046C-432F-88E6-D9F3E44CE4F3}">
      <text>
        <r>
          <rPr>
            <b/>
            <sz val="9"/>
            <color indexed="81"/>
            <rFont val="Tahoma"/>
            <family val="2"/>
          </rPr>
          <t>Jorge Medina:</t>
        </r>
        <r>
          <rPr>
            <sz val="9"/>
            <color indexed="81"/>
            <rFont val="Tahoma"/>
            <family val="2"/>
          </rPr>
          <t xml:space="preserve">
Vporr
Ptapac
tmuert
albrook
Sanfco</t>
        </r>
      </text>
    </comment>
    <comment ref="H73" authorId="1" shapeId="0" xr:uid="{531F28F4-1F52-4ABD-AB10-367DF647A3F3}">
      <text>
        <r>
          <rPr>
            <b/>
            <sz val="9"/>
            <color indexed="81"/>
            <rFont val="Tahoma"/>
            <family val="2"/>
          </rPr>
          <t>Enrique Hernandez Cárdenas:</t>
        </r>
        <r>
          <rPr>
            <sz val="9"/>
            <color indexed="81"/>
            <rFont val="Tahoma"/>
            <family val="2"/>
          </rPr>
          <t xml:space="preserve">
En el indicativo de demanda no aparece valores, se tomo en cuenta la información del periodo 2021-2029</t>
        </r>
      </text>
    </comment>
    <comment ref="H80" authorId="0" shapeId="0" xr:uid="{63A01AF2-81E7-4630-96BE-050CB8F8B2DD}">
      <text>
        <r>
          <rPr>
            <b/>
            <sz val="9"/>
            <color indexed="81"/>
            <rFont val="Tahoma"/>
            <family val="2"/>
          </rPr>
          <t>Jorge Medina:</t>
        </r>
        <r>
          <rPr>
            <sz val="9"/>
            <color indexed="81"/>
            <rFont val="Tahoma"/>
            <family val="2"/>
          </rPr>
          <t xml:space="preserve">
col2k
porto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MES</author>
  </authors>
  <commentList>
    <comment ref="B3" authorId="0" shapeId="0" xr:uid="{6C69C3D0-8D82-4DF9-A319-C85426A43AF7}">
      <text>
        <r>
          <rPr>
            <sz val="9"/>
            <color indexed="81"/>
            <rFont val="Tahoma"/>
            <family val="2"/>
          </rPr>
          <t>Se actualiza desde "1. DatosFijos.xls"</t>
        </r>
      </text>
    </comment>
    <comment ref="B7" authorId="0" shapeId="0" xr:uid="{9E483AB2-6B34-457C-B45B-546891F74DD4}">
      <text>
        <r>
          <rPr>
            <sz val="9"/>
            <color indexed="81"/>
            <rFont val="Tahoma"/>
            <family val="2"/>
          </rPr>
          <t>Se actualiza desde "1. DatosFijos.xls"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MES</author>
  </authors>
  <commentList>
    <comment ref="B3" authorId="0" shapeId="0" xr:uid="{419B4DF9-3C59-4870-905E-BF6C12EA0E00}">
      <text>
        <r>
          <rPr>
            <sz val="9"/>
            <color indexed="81"/>
            <rFont val="Tahoma"/>
            <family val="2"/>
          </rPr>
          <t>Se actualiza desde "1. DatosFijos.xls"</t>
        </r>
      </text>
    </comment>
    <comment ref="B7" authorId="0" shapeId="0" xr:uid="{BA76624A-83B7-4254-8B01-54AE7E638B7A}">
      <text>
        <r>
          <rPr>
            <sz val="9"/>
            <color indexed="81"/>
            <rFont val="Tahoma"/>
            <family val="2"/>
          </rPr>
          <t>Se actualiza desde "1. DatosFijos.xls"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MES</author>
  </authors>
  <commentList>
    <comment ref="B3" authorId="0" shapeId="0" xr:uid="{400D0D2F-7A4A-48BA-B094-3FC74EB6F55A}">
      <text>
        <r>
          <rPr>
            <sz val="9"/>
            <color indexed="81"/>
            <rFont val="Tahoma"/>
            <family val="2"/>
          </rPr>
          <t>Se actualiza desde "1. DatosFijos.xls"</t>
        </r>
      </text>
    </comment>
    <comment ref="B7" authorId="0" shapeId="0" xr:uid="{BA7A24FF-F7AD-43FE-9C22-4EEEF38767CB}">
      <text>
        <r>
          <rPr>
            <sz val="9"/>
            <color indexed="81"/>
            <rFont val="Tahoma"/>
            <family val="2"/>
          </rPr>
          <t>Se actualiza desde "1. DatosFijos.xls"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MES</author>
  </authors>
  <commentList>
    <comment ref="B3" authorId="0" shapeId="0" xr:uid="{2EDB016A-6029-4268-B88A-728D1C033B85}">
      <text>
        <r>
          <rPr>
            <sz val="9"/>
            <color indexed="81"/>
            <rFont val="Tahoma"/>
            <family val="2"/>
          </rPr>
          <t>Se actualiza desde "1. DatosFijos.xls"</t>
        </r>
      </text>
    </comment>
    <comment ref="B7" authorId="0" shapeId="0" xr:uid="{42620A24-3419-4BC7-8662-9BD4F2BFB6E7}">
      <text>
        <r>
          <rPr>
            <sz val="9"/>
            <color indexed="81"/>
            <rFont val="Tahoma"/>
            <family val="2"/>
          </rPr>
          <t>Se actualiza desde "1. DatosFijos.xls"</t>
        </r>
      </text>
    </comment>
  </commentList>
</comments>
</file>

<file path=xl/sharedStrings.xml><?xml version="1.0" encoding="utf-8"?>
<sst xmlns="http://schemas.openxmlformats.org/spreadsheetml/2006/main" count="2287" uniqueCount="351">
  <si>
    <t>Año Tarifario:</t>
  </si>
  <si>
    <t>IPSPA: Nuevas Inversiones (por Estampilla Postal)</t>
  </si>
  <si>
    <t>IPSPEGyD  (k B/.)</t>
  </si>
  <si>
    <t>Longitud  (km)</t>
  </si>
  <si>
    <t>CU</t>
  </si>
  <si>
    <t>Total:</t>
  </si>
  <si>
    <t>(kB/./km)</t>
  </si>
  <si>
    <t>IPSPAGyD:</t>
  </si>
  <si>
    <t>(k B/.)</t>
  </si>
  <si>
    <t>%ASIGP (G) =</t>
  </si>
  <si>
    <t xml:space="preserve">230 kV </t>
  </si>
  <si>
    <t>%ASIGP (D) =</t>
  </si>
  <si>
    <t xml:space="preserve">115 kV </t>
  </si>
  <si>
    <r>
      <rPr>
        <b/>
        <i/>
        <sz val="10"/>
        <color indexed="63"/>
        <rFont val="Times New Roman"/>
        <family val="1"/>
      </rPr>
      <t>Energía Estimada</t>
    </r>
    <r>
      <rPr>
        <i/>
        <sz val="10"/>
        <color indexed="63"/>
        <rFont val="Times New Roman"/>
        <family val="1"/>
      </rPr>
      <t xml:space="preserve"> (indicativo demanda) =</t>
    </r>
  </si>
  <si>
    <t>(GWh)</t>
  </si>
  <si>
    <t>IPSPED (k B/.):</t>
  </si>
  <si>
    <t>IPSPAD:</t>
  </si>
  <si>
    <t>Generación =</t>
  </si>
  <si>
    <r>
      <t xml:space="preserve">Capacidad instalada de generación </t>
    </r>
    <r>
      <rPr>
        <sz val="10"/>
        <color indexed="56"/>
        <rFont val="Times New Roman"/>
        <family val="1"/>
      </rPr>
      <t xml:space="preserve">(Pinst) y </t>
    </r>
    <r>
      <rPr>
        <b/>
        <sz val="10"/>
        <color indexed="56"/>
        <rFont val="Times New Roman"/>
        <family val="1"/>
      </rPr>
      <t>Demanda máxima no coincidente</t>
    </r>
    <r>
      <rPr>
        <sz val="10"/>
        <color indexed="56"/>
        <rFont val="Times New Roman"/>
        <family val="1"/>
      </rPr>
      <t xml:space="preserve"> prevista anual (Pma) en MW por Zona</t>
    </r>
  </si>
  <si>
    <t>ZONA</t>
  </si>
  <si>
    <t>Total</t>
  </si>
  <si>
    <t>Pinst (G)</t>
  </si>
  <si>
    <t>Pma (D)</t>
  </si>
  <si>
    <t xml:space="preserve">   Capacidad Instalada  (MW)</t>
  </si>
  <si>
    <t xml:space="preserve">   Demanda Máxima No Coincidente  (MW)</t>
  </si>
  <si>
    <t>Zona</t>
  </si>
  <si>
    <t>Nodo</t>
  </si>
  <si>
    <t>Mes de Ingreso</t>
  </si>
  <si>
    <t>EDECHI</t>
  </si>
  <si>
    <t>Progreso T1 y T2</t>
  </si>
  <si>
    <t>Charco Azul</t>
  </si>
  <si>
    <t>…</t>
  </si>
  <si>
    <t>Caldera 115-19</t>
  </si>
  <si>
    <t>Mata Nance 34-9</t>
  </si>
  <si>
    <t xml:space="preserve">Mata Nance 34-10/11/15 </t>
  </si>
  <si>
    <t>EDEMET</t>
  </si>
  <si>
    <t>GRANDES CLIENTES</t>
  </si>
  <si>
    <t>Super 99</t>
  </si>
  <si>
    <t>Varela (Fábrica de Pesé)</t>
  </si>
  <si>
    <t>sunstar</t>
  </si>
  <si>
    <t>MINERA PANAMá</t>
  </si>
  <si>
    <t>Minera Panamá</t>
  </si>
  <si>
    <t>Panamá Oeste</t>
  </si>
  <si>
    <t>Cemento Interoceánico</t>
  </si>
  <si>
    <t>ENSA</t>
  </si>
  <si>
    <t>Panamá</t>
  </si>
  <si>
    <t>Panamá 2</t>
  </si>
  <si>
    <t>24 de Diciembre</t>
  </si>
  <si>
    <t>CEMEX</t>
  </si>
  <si>
    <t>Contraloría</t>
  </si>
  <si>
    <t>AVIPAC</t>
  </si>
  <si>
    <t>Embajada de Estados Unidos</t>
  </si>
  <si>
    <t>CSS (CHAAM)</t>
  </si>
  <si>
    <t>Varela (Cía. Panameña de Licores)</t>
  </si>
  <si>
    <t>Bayano (Cañitas-Aserradero)</t>
  </si>
  <si>
    <t>Colón</t>
  </si>
  <si>
    <t>Argos Panamá, S.A.</t>
  </si>
  <si>
    <t>Changuinola</t>
  </si>
  <si>
    <t>AT2</t>
  </si>
  <si>
    <t>AT3</t>
  </si>
  <si>
    <t>AT4</t>
  </si>
  <si>
    <t>Ingreso Total Previsto por CUSPT (Seguimiento Eléctrico + Estampilla Postal)  [ kB/. ]</t>
  </si>
  <si>
    <t>Zona:</t>
  </si>
  <si>
    <t>AT1</t>
  </si>
  <si>
    <t>GEN</t>
  </si>
  <si>
    <t>Capacidad Instalada de Generación (Cinst) [ MW ]</t>
  </si>
  <si>
    <t xml:space="preserve"> Cinst (G)</t>
  </si>
  <si>
    <t>CARGOS EQUIVALENTES PRELIMINARES</t>
  </si>
  <si>
    <t>CUSPT equivalentes  [ B/. / kW-mes ]</t>
  </si>
  <si>
    <t>CUP</t>
  </si>
  <si>
    <t>IPSPED:</t>
  </si>
  <si>
    <t>Mes Tarifario: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</si>
  <si>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</si>
  <si>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</si>
  <si>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</si>
  <si>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</si>
  <si>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</si>
  <si>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</si>
  <si>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</si>
  <si>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</si>
  <si>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</si>
  <si>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</si>
  <si>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</si>
  <si>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</si>
  <si>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Jul</t>
  </si>
  <si>
    <t>Ago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</si>
  <si>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</si>
  <si>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</si>
  <si>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</si>
  <si>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</si>
  <si>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</si>
  <si>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</si>
  <si>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</si>
  <si>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</si>
  <si>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</si>
  <si>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</si>
  <si>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Periodo Est.:</t>
  </si>
  <si>
    <t>Lluv.</t>
  </si>
  <si>
    <t>Seco</t>
  </si>
  <si>
    <t>Te (Hs/Mes):</t>
  </si>
  <si>
    <t>Te / 8760 =</t>
  </si>
  <si>
    <t>Principales Referencias</t>
  </si>
  <si>
    <t>Progreso Baitún</t>
  </si>
  <si>
    <t>Fortuna Guasquitas</t>
  </si>
  <si>
    <t>Caldera L.Estrella</t>
  </si>
  <si>
    <t>Mata Nance Boquerón 3</t>
  </si>
  <si>
    <t>Ll.Sánchez   El Higo</t>
  </si>
  <si>
    <t>Chorrera      Pan-Am</t>
  </si>
  <si>
    <t>Panamá Pacora</t>
  </si>
  <si>
    <t>Bayano Cañitas</t>
  </si>
  <si>
    <t>T.Colón L.Minas</t>
  </si>
  <si>
    <t>Changinola Cañazas</t>
  </si>
  <si>
    <t>Capacidad instalada de generación (Cinst) y Demanda máxima no coincidente prevista anual (Pma) en MW por Zona</t>
  </si>
  <si>
    <t>Cinst (G)</t>
  </si>
  <si>
    <t>Despacho de potencia promedio anual previsto (MW)</t>
  </si>
  <si>
    <t>Pg (G)</t>
  </si>
  <si>
    <t>Pd (D)</t>
  </si>
  <si>
    <t>Despacho de energia anual previsto por zona (GWh)</t>
  </si>
  <si>
    <t>Eg (G)</t>
  </si>
  <si>
    <t>Ed (D)</t>
  </si>
  <si>
    <r>
      <rPr>
        <b/>
        <sz val="10"/>
        <rFont val="Times New Roman"/>
        <family val="1"/>
      </rPr>
      <t>CXUSOPS  (B/. / MWh)</t>
    </r>
    <r>
      <rPr>
        <sz val="10"/>
        <rFont val="Times New Roman"/>
        <family val="1"/>
      </rPr>
      <t>:  Seg. Electrico x uso red</t>
    </r>
  </si>
  <si>
    <t>DEM</t>
  </si>
  <si>
    <r>
      <rPr>
        <b/>
        <sz val="10"/>
        <rFont val="Times New Roman"/>
        <family val="1"/>
      </rPr>
      <t>CXUSOPE  (B/. / kW)</t>
    </r>
    <r>
      <rPr>
        <sz val="10"/>
        <rFont val="Times New Roman"/>
        <family val="1"/>
      </rPr>
      <t>:  Est. Postal x capacidad remanente</t>
    </r>
  </si>
  <si>
    <t>GEN =</t>
  </si>
  <si>
    <t>DEM =</t>
  </si>
  <si>
    <r>
      <rPr>
        <b/>
        <sz val="10"/>
        <rFont val="Times New Roman"/>
        <family val="1"/>
      </rPr>
      <t>CXCADIC  (B/. / kW)</t>
    </r>
    <r>
      <rPr>
        <sz val="10"/>
        <rFont val="Times New Roman"/>
        <family val="1"/>
      </rPr>
      <t>:  Est. Postal x no pago zonas 6, 7 y 9</t>
    </r>
  </si>
  <si>
    <r>
      <rPr>
        <b/>
        <sz val="10"/>
        <rFont val="Times New Roman"/>
        <family val="1"/>
      </rPr>
      <t>CXUSODS  (B/. / MWh)</t>
    </r>
    <r>
      <rPr>
        <sz val="10"/>
        <rFont val="Times New Roman"/>
        <family val="1"/>
      </rPr>
      <t>:  Seg. Electrico x uso equipamiento asociado totalmente a la demanda</t>
    </r>
  </si>
  <si>
    <r>
      <rPr>
        <b/>
        <sz val="10"/>
        <rFont val="Times New Roman"/>
        <family val="1"/>
      </rPr>
      <t>CXUSODE  (B/. / kW)</t>
    </r>
    <r>
      <rPr>
        <sz val="10"/>
        <rFont val="Times New Roman"/>
        <family val="1"/>
      </rPr>
      <t>:  Est. Postal x equipamiento asociado totalmente a la demanda</t>
    </r>
  </si>
  <si>
    <t>TOTAL  CXUSO_S  (B/. / MWh):  Seg. Electrico</t>
  </si>
  <si>
    <t>TOTAL  CXUSO_E  (B/. / kW - año):  Est. Postal</t>
  </si>
  <si>
    <t>Recaudación prevista por cargos  (kB/.)</t>
  </si>
  <si>
    <t>CXUSOPS :  Seg. Electrico x uso red</t>
  </si>
  <si>
    <t>CXUSOPE:  Est. Postal x capacidad remanente</t>
  </si>
  <si>
    <t>CXUSOD:  cargos x equipamiento asociado totalmente a la demanda</t>
  </si>
  <si>
    <t>Seg.Elec.</t>
  </si>
  <si>
    <t>Est.Post.</t>
  </si>
  <si>
    <t>CADIC:  monto anual zonas 6, 7 y 9 equivalente al cargo adicional =</t>
  </si>
  <si>
    <t>TOTAL  (kB/.)</t>
  </si>
  <si>
    <t>(230 kV)</t>
  </si>
  <si>
    <t>GRANDES CLIENTES ENSA</t>
  </si>
  <si>
    <t>GRANDES CLIENTES EDEMET</t>
  </si>
  <si>
    <t>Cañazas</t>
  </si>
  <si>
    <t>*PANASOLAR</t>
  </si>
  <si>
    <t>Gold Mills</t>
  </si>
  <si>
    <t>2026-2027</t>
  </si>
  <si>
    <t>2025-2026</t>
  </si>
  <si>
    <t>2027-2028</t>
  </si>
  <si>
    <t>2028-2029</t>
  </si>
  <si>
    <t>CARGO EQUIVALENTE POR USO DEL SISTEMA DE TRANSMISIÓN PARA GENERADORES-PERIODO TARIFARIO 2025-2029</t>
  </si>
  <si>
    <t>***BAITÚN</t>
  </si>
  <si>
    <t>HÍDRICA</t>
  </si>
  <si>
    <t>***BAJO DE MINA</t>
  </si>
  <si>
    <t>***LA POTRA</t>
  </si>
  <si>
    <t>***SALSIPUEDES</t>
  </si>
  <si>
    <t xml:space="preserve">***SAN ANDRÉS </t>
  </si>
  <si>
    <t xml:space="preserve">*SOL DE DAVID </t>
  </si>
  <si>
    <t>FOTOVOLTÁICA</t>
  </si>
  <si>
    <t xml:space="preserve">*SOLAR CALDERA </t>
  </si>
  <si>
    <t>*MADRE VIEJA SOLAR</t>
  </si>
  <si>
    <t>*BACO SOLAR</t>
  </si>
  <si>
    <t>*PLANTA DE GENERACIÓN ECOSOLAR</t>
  </si>
  <si>
    <t>*PLANTA DE GENERACIÓN FOTOVOLTAICA ECOSOLAR 2</t>
  </si>
  <si>
    <t>*ECOSOLAR 3</t>
  </si>
  <si>
    <t>*ECOSOLAR 4</t>
  </si>
  <si>
    <t>*ECOSOLAR 5</t>
  </si>
  <si>
    <t>*LA ESPERANZA SOLAR 20MW</t>
  </si>
  <si>
    <t>*ESTI SOLAR 2</t>
  </si>
  <si>
    <t xml:space="preserve">Llano Sánchez y El coco </t>
  </si>
  <si>
    <t>***FORTUNA</t>
  </si>
  <si>
    <t xml:space="preserve">***ESTÍ </t>
  </si>
  <si>
    <t>***LORENA</t>
  </si>
  <si>
    <t>***PRUDENCIA</t>
  </si>
  <si>
    <t>*PARQUE SOLAR  PRUDENCIA</t>
  </si>
  <si>
    <t>El Higo</t>
  </si>
  <si>
    <t>***LA ESTRELLA</t>
  </si>
  <si>
    <t>***LOS VALLES</t>
  </si>
  <si>
    <t>***MENDRE</t>
  </si>
  <si>
    <t>***COCHEA</t>
  </si>
  <si>
    <t>***ALGARROBOS</t>
  </si>
  <si>
    <t xml:space="preserve">***MENDRE II </t>
  </si>
  <si>
    <t xml:space="preserve">*PROYECTO SOLAR UP2  </t>
  </si>
  <si>
    <t xml:space="preserve">*CENTRAL FOTOVOLTÁICA UP3 </t>
  </si>
  <si>
    <t xml:space="preserve">*CENTRAL FOTOVOLTAICA UP4 </t>
  </si>
  <si>
    <t>***CONCEPCIÓN</t>
  </si>
  <si>
    <t>***MACANO (E)</t>
  </si>
  <si>
    <t xml:space="preserve">***PASO ANCHO </t>
  </si>
  <si>
    <t>*** LOS PLANETAS (E)</t>
  </si>
  <si>
    <t xml:space="preserve">***PEDREGALITO + PEDREGALITO I UNIDAD 4 </t>
  </si>
  <si>
    <t xml:space="preserve">***PEDREGALITO II + PEDREGALITO II UNIDAD 3 </t>
  </si>
  <si>
    <t>***RP-490</t>
  </si>
  <si>
    <t>***MACHO DE MONTE  (E)</t>
  </si>
  <si>
    <t>***DOLEGA  (E)</t>
  </si>
  <si>
    <t>***LAS PERLAS NORTE</t>
  </si>
  <si>
    <t>***LAS PERLAS SUR</t>
  </si>
  <si>
    <t>***MONTE LIRIO</t>
  </si>
  <si>
    <t xml:space="preserve">***PANDO </t>
  </si>
  <si>
    <t xml:space="preserve">***BUGABA I </t>
  </si>
  <si>
    <t xml:space="preserve">***BUGABA II  </t>
  </si>
  <si>
    <t>***EL ALTO</t>
  </si>
  <si>
    <t xml:space="preserve">***BAJO DEL TOTUMO  </t>
  </si>
  <si>
    <t xml:space="preserve">***LOS PLANETAS II </t>
  </si>
  <si>
    <t xml:space="preserve">*SOLAR CHIRIQUÍ  </t>
  </si>
  <si>
    <t xml:space="preserve">***LAS CRUCES </t>
  </si>
  <si>
    <t>*SOLAR BUGABA  (E)</t>
  </si>
  <si>
    <t xml:space="preserve">***LA CUCHILLA  </t>
  </si>
  <si>
    <t>* IKAKO</t>
  </si>
  <si>
    <t>*IKAKO I</t>
  </si>
  <si>
    <t>* IKAKO II</t>
  </si>
  <si>
    <t>* IKAKO III</t>
  </si>
  <si>
    <t xml:space="preserve">*CAOBA SOLAR  </t>
  </si>
  <si>
    <t xml:space="preserve">*CEDRO SOLAR  </t>
  </si>
  <si>
    <t>****AUTO GENERADOR CADASA</t>
  </si>
  <si>
    <t>TÉRMICA</t>
  </si>
  <si>
    <t>*LAS LOMAS SOLAR</t>
  </si>
  <si>
    <t xml:space="preserve">*COROTU SOLAR </t>
  </si>
  <si>
    <t>***BARRO BLANCO</t>
  </si>
  <si>
    <t>*ANDREAS POWER (E)</t>
  </si>
  <si>
    <t xml:space="preserve">*PARQUE FOTOVOLTAICO SANTIAGO </t>
  </si>
  <si>
    <t xml:space="preserve">*PARQUE SOLAR ALANJE 1 </t>
  </si>
  <si>
    <t xml:space="preserve">*PARQUE SOLAR ALANJE 2 </t>
  </si>
  <si>
    <t xml:space="preserve">*PARQUE SOLAR ALANJE 3 </t>
  </si>
  <si>
    <t xml:space="preserve">*PANASOLAR IV </t>
  </si>
  <si>
    <t xml:space="preserve">*PANASOLAR V </t>
  </si>
  <si>
    <t xml:space="preserve">*PARQUE FOTOVOLTAICO LA MESA </t>
  </si>
  <si>
    <t xml:space="preserve">*PARQUE FOTOVOLTAICO SAN BARTOLO </t>
  </si>
  <si>
    <t xml:space="preserve">*PARQUE FOTOVOLTAICO AGUA VIVA </t>
  </si>
  <si>
    <t>*CENTRAL SOLAR LA HUECA</t>
  </si>
  <si>
    <t xml:space="preserve">*SAN BARTOLO 1 </t>
  </si>
  <si>
    <t xml:space="preserve">*SAN BARTOLO 2 </t>
  </si>
  <si>
    <t xml:space="preserve">*SAN BARTOLO 3 </t>
  </si>
  <si>
    <t xml:space="preserve">*SAN BARTOLO 4 </t>
  </si>
  <si>
    <t>***BURICA</t>
  </si>
  <si>
    <t xml:space="preserve">*CAMPO SOLAR SANTIAGO 1 </t>
  </si>
  <si>
    <t xml:space="preserve">*CAMPO SOLAR SANTIAGO 2 </t>
  </si>
  <si>
    <t xml:space="preserve">*CAMPO SOLAR SANTIAGO 3 </t>
  </si>
  <si>
    <t xml:space="preserve">*CAMPO SOLAR SANTIAGO 4 </t>
  </si>
  <si>
    <t xml:space="preserve">*CAMPO SOLAR SANTIAGO 5 </t>
  </si>
  <si>
    <t xml:space="preserve">*CAMPO SOLAR SANTIAGO 6 </t>
  </si>
  <si>
    <t xml:space="preserve">*CAMPO SOLAR SANTIAGO 7 </t>
  </si>
  <si>
    <t xml:space="preserve">***EL FRAILE + EL FRAILE UND 3 </t>
  </si>
  <si>
    <t xml:space="preserve">***LA YEGUADA </t>
  </si>
  <si>
    <t xml:space="preserve">*DON FELIX + DON FELIX ET2  </t>
  </si>
  <si>
    <t xml:space="preserve">*SOLAR DIVISA  </t>
  </si>
  <si>
    <t xml:space="preserve">*SOLAR PARIS  </t>
  </si>
  <si>
    <t xml:space="preserve">*SOLAR LOS ÁNGELES </t>
  </si>
  <si>
    <t xml:space="preserve">*SOL REAL </t>
  </si>
  <si>
    <t>*EL ESPINAL</t>
  </si>
  <si>
    <t xml:space="preserve">*VISTA ALEGRE </t>
  </si>
  <si>
    <t>*MILTON SOLAR</t>
  </si>
  <si>
    <t xml:space="preserve">**MARAÑÓN </t>
  </si>
  <si>
    <t>EÓLICA</t>
  </si>
  <si>
    <t xml:space="preserve">**ROSA DE LOS VIENTOS  </t>
  </si>
  <si>
    <t>**AES PANAMA, S.R.L. (NUEVO CHAGRES - FASE 1)</t>
  </si>
  <si>
    <t>**UEP PENONOMÉ II, S.A. (NUEVO CHAGRES II)</t>
  </si>
  <si>
    <t xml:space="preserve">**PORTOBELO </t>
  </si>
  <si>
    <t xml:space="preserve">**ROSA DE LOS VIENTOS ETAPA II </t>
  </si>
  <si>
    <t xml:space="preserve">*POCRÍ </t>
  </si>
  <si>
    <t xml:space="preserve">*ESTRELLA SOLAR  </t>
  </si>
  <si>
    <t>*FOTOVOLTAICA SANTIAGO GEN (E)</t>
  </si>
  <si>
    <t xml:space="preserve">*PARQUE SOLAR PENONOMÉ </t>
  </si>
  <si>
    <t xml:space="preserve">*MAYORCA SOLAR (AES) </t>
  </si>
  <si>
    <t xml:space="preserve">*SOLAR PESÉ (AES) </t>
  </si>
  <si>
    <t>*CAMPO SOLAR LA VICTORIA</t>
  </si>
  <si>
    <t xml:space="preserve">*LOS SANTOS SOLAR </t>
  </si>
  <si>
    <t>*ORO SOLAR</t>
  </si>
  <si>
    <t xml:space="preserve">*FORSUN SOLAR </t>
  </si>
  <si>
    <t>*RIO DE JESUS SOLAR</t>
  </si>
  <si>
    <t xml:space="preserve">*CHUPAMPA SOLAR </t>
  </si>
  <si>
    <t xml:space="preserve">*SAN CARLOS SOLAR </t>
  </si>
  <si>
    <t xml:space="preserve">*RODEO SOLAR </t>
  </si>
  <si>
    <t>*LA TORRE  (E)</t>
  </si>
  <si>
    <t>*LA VILLA SOLAR</t>
  </si>
  <si>
    <t xml:space="preserve">*PLANTA SOLAR FOTOVOLTAICA COCLÉ </t>
  </si>
  <si>
    <t xml:space="preserve">*LA SALAMANCA </t>
  </si>
  <si>
    <t xml:space="preserve">*JAGUITO GREEN ENERGY I </t>
  </si>
  <si>
    <t xml:space="preserve">*JAGUITO GREEN ENERGY II </t>
  </si>
  <si>
    <t xml:space="preserve">*JAGUITO GREEN ENERGY III </t>
  </si>
  <si>
    <t xml:space="preserve">*LLANO SANCHEZ </t>
  </si>
  <si>
    <t>MINERA PANAMÁ</t>
  </si>
  <si>
    <t>****PANAM</t>
  </si>
  <si>
    <t>*ANTÓN (E)</t>
  </si>
  <si>
    <t>*CONCEPTO SOLAR, S.A. (BEJUCO SOLAR) (E)</t>
  </si>
  <si>
    <t>*ELECTRICIDAD SOLAR, S.A. (MENDOSA SOLAR)  (E)</t>
  </si>
  <si>
    <t>*MASPV PANAMA INC. (SUNRISE MASPV1) (E)</t>
  </si>
  <si>
    <t>*PARQUE FOTOVOLTAICO ECOENER SAN JUAN (E)</t>
  </si>
  <si>
    <t>*CHAME SOLAR</t>
  </si>
  <si>
    <t>*SUNRISE MASPV2 (E)</t>
  </si>
  <si>
    <t>*LA CANTERA (E)</t>
  </si>
  <si>
    <t>*BRILLO SOLAR</t>
  </si>
  <si>
    <t>*CLEAN SOLAR (E)</t>
  </si>
  <si>
    <t>*CACAO SOLAR</t>
  </si>
  <si>
    <t xml:space="preserve">**PARQUE EÓLICO TOABRÉ </t>
  </si>
  <si>
    <t xml:space="preserve">*ANTON SOLAR 1 </t>
  </si>
  <si>
    <t xml:space="preserve">*FARALLON SOLAR 2 </t>
  </si>
  <si>
    <t>**PARQUE EOLICO LA COLORADA</t>
  </si>
  <si>
    <t xml:space="preserve">***MIRAFLORES  </t>
  </si>
  <si>
    <t>****PACORA</t>
  </si>
  <si>
    <t>***BAYANO</t>
  </si>
  <si>
    <t>****CENTRAL TERMICA CATIVA Y TURBINA DE GAS</t>
  </si>
  <si>
    <t>****TERMO-COLÓN CICLO COMBINADO</t>
  </si>
  <si>
    <t>****COSTA NORTE</t>
  </si>
  <si>
    <t>****TROPITÉRMICA</t>
  </si>
  <si>
    <t>****SPARKLE POWER</t>
  </si>
  <si>
    <t xml:space="preserve">****C.T. GATÚN </t>
  </si>
  <si>
    <t>***CHANGUINOLA</t>
  </si>
  <si>
    <t>***BONYIC</t>
  </si>
  <si>
    <t xml:space="preserve">(*) corresponden a Generación Fotovoltaica (Solar) </t>
  </si>
  <si>
    <t xml:space="preserve">(**) corresponde a la Generación Eólica </t>
  </si>
  <si>
    <t>(***) corresponde a la Generación Hídrica</t>
  </si>
  <si>
    <t>(****) corresponde a la Generación Térmica</t>
  </si>
  <si>
    <t>(E) corresponden a las Generaciones Solares y Eólicas Exentas del Cargo de Transmisión según Reglamento de Transmisión</t>
  </si>
  <si>
    <t>Llano Sánchez y El Coco</t>
  </si>
  <si>
    <t xml:space="preserve">Según Resolución AN No.20847-Elec de 2025-09-24 </t>
  </si>
  <si>
    <t>Pliego Tarifario 2025-2029</t>
  </si>
  <si>
    <t>IMP</t>
  </si>
  <si>
    <t>RESOLUCIÓN AN No.20847</t>
  </si>
  <si>
    <t>Ingreso cobrado en Julio 2025</t>
  </si>
  <si>
    <t>Ingreso cobrado en Agosto 2025</t>
  </si>
  <si>
    <t>Ingreso cobrado en Septiembre 2025</t>
  </si>
  <si>
    <t>Ingreso cobrado en Octubre de 2025</t>
  </si>
  <si>
    <t>IMP de noviembre 2025 a junio 2026</t>
  </si>
  <si>
    <t>*SOLARPRO</t>
  </si>
  <si>
    <t xml:space="preserve">*SOLARPRO 2 </t>
  </si>
  <si>
    <t>***GUALACA</t>
  </si>
  <si>
    <t>*MENDRE SOLAR</t>
  </si>
  <si>
    <t>*PROYECTO SOLAR UP1</t>
  </si>
  <si>
    <t>***MACANO</t>
  </si>
  <si>
    <t>*MACANO SOLAR</t>
  </si>
  <si>
    <t>***SAN LORENZO</t>
  </si>
  <si>
    <t>*FRAILE SOLAR I (E)</t>
  </si>
  <si>
    <t>*FRAILE SOLAR II (E)</t>
  </si>
  <si>
    <t xml:space="preserve">*PROYECTO FOTOVOLTAICO JAGUITO SOLAR </t>
  </si>
  <si>
    <t>*DACONAN SOLAR</t>
  </si>
  <si>
    <t xml:space="preserve">*PANASOLAR II </t>
  </si>
  <si>
    <t xml:space="preserve">*PANASOLAR III </t>
  </si>
  <si>
    <t>*COCLÉ SOLAR ANSA</t>
  </si>
  <si>
    <t>**TOABRE ETAPA II</t>
  </si>
  <si>
    <t>**TOABRE ETAPA III</t>
  </si>
  <si>
    <t>*FARALLÓN SOLAR (E)</t>
  </si>
  <si>
    <t>*CAPIRA SOLAR</t>
  </si>
  <si>
    <t>****PACORA 2.  (E)</t>
  </si>
  <si>
    <t>*AUTO GENERADOR CADASA</t>
  </si>
  <si>
    <t>FOTOVOLTÁICA / BIOMASA</t>
  </si>
  <si>
    <t xml:space="preserve">*PANASOLAR III  </t>
  </si>
  <si>
    <t xml:space="preserve">*COCLÉ SOLAR ANSA </t>
  </si>
  <si>
    <t>****PACORA 2 (E)</t>
  </si>
  <si>
    <t xml:space="preserve">*MACANO SOLAR </t>
  </si>
  <si>
    <t>*PANASOLAR II</t>
  </si>
  <si>
    <t>*SOLARPRO 2</t>
  </si>
  <si>
    <t xml:space="preserve">*MENDRE SOLAR </t>
  </si>
  <si>
    <t xml:space="preserve">****PACORA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</si>
</sst>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0.0%"/>
    <numFmt numFmtId="165" formatCode="#,##0.0"/>
    <numFmt numFmtId="166" formatCode="0.0"/>
    <numFmt numFmtId="167" formatCode="_ * #,##0.00_ ;_ * \-#,##0.00_ ;_ * &quot;-&quot;??_ ;_ @_ "/>
    <numFmt numFmtId="168" formatCode="_(* #,##0.00_);_(* \(#,##0.00\);_(* &quot;-&quot;??_);_(@_)"/>
    <numFmt numFmtId="169" formatCode="0.000"/>
    <numFmt numFmtId="170" formatCode="_(* #,##0.000_);_(* \(#,##0.000\);_(* &quot;-&quot;??_);_(@_)"/>
    <numFmt numFmtId="171" formatCode="0.0000"/>
    <numFmt numFmtId="172" formatCode="#,##0.000"/>
    <numFmt numFmtId="173" formatCode="_-* #,##0.00\ _€_-;\-* #,##0.00\ _€_-;_-* &quot;-&quot;??\ _€_-;_-@_-"/>
    <numFmt numFmtId="174" formatCode="#.00"/>
    <numFmt numFmtId="175" formatCode="_-[$€-2]* #,##0.00_-;\-[$€-2]* #,##0.00_-;_-[$€-2]* &quot;-&quot;??_-"/>
    <numFmt numFmtId="176" formatCode="_-* #,##0.00\ _P_t_a_-;\-* #,##0.00\ _P_t_a_-;_-* &quot;-&quot;??\ _P_t_a_-;_-@_-"/>
    <numFmt numFmtId="177" formatCode="_(* #,##0_);_(* \(#,##0\);_(* &quot;-&quot;??_);_(@_)"/>
    <numFmt numFmtId="178" formatCode="0.0000000000000000%"/>
  </numFmts>
  <fonts count="1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3"/>
      <name val="Times New Roman"/>
      <family val="1"/>
    </font>
    <font>
      <i/>
      <sz val="10"/>
      <color theme="1" tint="0.499984740745262"/>
      <name val="Times New Roman"/>
      <family val="1"/>
    </font>
    <font>
      <b/>
      <i/>
      <sz val="10"/>
      <color theme="4"/>
      <name val="Times New Roman"/>
      <family val="1"/>
    </font>
    <font>
      <sz val="10"/>
      <color theme="4"/>
      <name val="Times New Roman"/>
      <family val="1"/>
    </font>
    <font>
      <sz val="10"/>
      <name val="Times New Roman"/>
      <family val="1"/>
    </font>
    <font>
      <i/>
      <sz val="10"/>
      <color theme="4"/>
      <name val="Times New Roman"/>
      <family val="1"/>
    </font>
    <font>
      <i/>
      <sz val="10"/>
      <color indexed="63"/>
      <name val="Times New Roman"/>
      <family val="1"/>
    </font>
    <font>
      <b/>
      <i/>
      <sz val="10"/>
      <color indexed="63"/>
      <name val="Times New Roman"/>
      <family val="1"/>
    </font>
    <font>
      <b/>
      <sz val="10"/>
      <color theme="3"/>
      <name val="Times New Roman"/>
      <family val="1"/>
    </font>
    <font>
      <sz val="10"/>
      <color indexed="56"/>
      <name val="Times New Roman"/>
      <family val="1"/>
    </font>
    <font>
      <b/>
      <sz val="10"/>
      <color indexed="56"/>
      <name val="Times New Roman"/>
      <family val="1"/>
    </font>
    <font>
      <b/>
      <sz val="10"/>
      <color theme="0"/>
      <name val="Times New Roman"/>
      <family val="1"/>
    </font>
    <font>
      <b/>
      <i/>
      <sz val="10"/>
      <color theme="0"/>
      <name val="Times New Roman"/>
      <family val="1"/>
    </font>
    <font>
      <sz val="9"/>
      <color theme="1" tint="0.499984740745262"/>
      <name val="Times New Roman"/>
      <family val="1"/>
    </font>
    <font>
      <sz val="10"/>
      <color rgb="FF000000"/>
      <name val="Times New Roman"/>
      <family val="1"/>
    </font>
    <font>
      <sz val="9"/>
      <color theme="3"/>
      <name val="Times New Roman"/>
      <family val="1"/>
    </font>
    <font>
      <b/>
      <i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2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sz val="12"/>
      <color theme="1" tint="0.34998626667073579"/>
      <name val="Times New Roman"/>
      <family val="1"/>
    </font>
    <font>
      <b/>
      <i/>
      <sz val="14"/>
      <color theme="1"/>
      <name val="Times New Roman"/>
      <family val="1"/>
    </font>
    <font>
      <sz val="12"/>
      <color rgb="FFFF0000"/>
      <name val="Times New Roman"/>
      <family val="1"/>
    </font>
    <font>
      <i/>
      <sz val="9"/>
      <color theme="1" tint="0.499984740745262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i/>
      <sz val="9"/>
      <color theme="4"/>
      <name val="Times New Roman"/>
      <family val="1"/>
    </font>
    <font>
      <b/>
      <i/>
      <sz val="10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name val="Times New Roman"/>
      <family val="1"/>
    </font>
    <font>
      <i/>
      <sz val="11"/>
      <color theme="4"/>
      <name val="Times New Roman"/>
      <family val="1"/>
    </font>
    <font>
      <sz val="11"/>
      <name val="Times New Roman"/>
      <family val="1"/>
    </font>
    <font>
      <b/>
      <i/>
      <sz val="9"/>
      <color theme="7" tint="-0.249977111117893"/>
      <name val="Times New Roman"/>
      <family val="1"/>
    </font>
    <font>
      <b/>
      <sz val="9"/>
      <color theme="7" tint="-0.249977111117893"/>
      <name val="Times New Roman"/>
      <family val="1"/>
    </font>
    <font>
      <b/>
      <i/>
      <sz val="11"/>
      <color theme="4" tint="-0.499984740745262"/>
      <name val="Times New Roman"/>
      <family val="1"/>
    </font>
    <font>
      <i/>
      <sz val="10"/>
      <color theme="4" tint="-0.499984740745262"/>
      <name val="Times New Roman"/>
      <family val="1"/>
    </font>
    <font>
      <b/>
      <i/>
      <sz val="9"/>
      <color theme="4"/>
      <name val="Times New Roman"/>
      <family val="1"/>
    </font>
    <font>
      <b/>
      <sz val="10"/>
      <color theme="4" tint="-0.499984740745262"/>
      <name val="Times New Roman"/>
      <family val="1"/>
    </font>
    <font>
      <b/>
      <sz val="10"/>
      <color theme="4"/>
      <name val="Times New Roman"/>
      <family val="1"/>
    </font>
    <font>
      <b/>
      <i/>
      <sz val="10"/>
      <color theme="4" tint="-0.499984740745262"/>
      <name val="Times New Roman"/>
      <family val="1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9"/>
      <color indexed="12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2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Times New Roman"/>
      <family val="1"/>
    </font>
    <font>
      <sz val="12"/>
      <name val="DIN-Regular"/>
      <family val="2"/>
    </font>
    <font>
      <sz val="10"/>
      <color theme="1"/>
      <name val="DIN-Regular"/>
      <family val="2"/>
    </font>
    <font>
      <b/>
      <i/>
      <sz val="10"/>
      <color theme="1"/>
      <name val="Arial Narrow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</font>
    <font>
      <b/>
      <sz val="9"/>
      <color indexed="8"/>
      <name val="Times New Roman"/>
      <family val="1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sz val="9"/>
      <color indexed="8"/>
      <name val="Arial"/>
      <family val="2"/>
    </font>
    <font>
      <b/>
      <sz val="8"/>
      <color rgb="FFFF0000"/>
      <name val="Times New Roman"/>
      <family val="1"/>
    </font>
    <font>
      <b/>
      <sz val="9"/>
      <color rgb="FF00000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23"/>
      <name val="Times New Roman"/>
      <family val="1"/>
    </font>
    <font>
      <b/>
      <i/>
      <sz val="10"/>
      <color indexed="62"/>
      <name val="Times New Roman"/>
      <family val="1"/>
    </font>
    <font>
      <sz val="10"/>
      <color indexed="62"/>
      <name val="Times New Roman"/>
      <family val="1"/>
    </font>
    <font>
      <i/>
      <sz val="10"/>
      <color indexed="62"/>
      <name val="Times New Roman"/>
      <family val="1"/>
    </font>
    <font>
      <b/>
      <sz val="10"/>
      <color indexed="9"/>
      <name val="Times New Roman"/>
      <family val="1"/>
    </font>
    <font>
      <b/>
      <i/>
      <sz val="10"/>
      <color indexed="9"/>
      <name val="Times New Roman"/>
      <family val="1"/>
    </font>
    <font>
      <sz val="9"/>
      <color indexed="23"/>
      <name val="Times New Roman"/>
      <family val="1"/>
    </font>
    <font>
      <sz val="9"/>
      <color indexed="56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8"/>
      <name val="Calibri"/>
      <family val="2"/>
    </font>
    <font>
      <b/>
      <i/>
      <sz val="10"/>
      <color indexed="8"/>
      <name val="Arial Narrow"/>
      <family val="2"/>
    </font>
    <font>
      <sz val="9"/>
      <color indexed="8"/>
      <name val="DIN-Regular"/>
      <family val="2"/>
    </font>
    <font>
      <sz val="10"/>
      <color indexed="8"/>
      <name val="DIN-Regular"/>
      <family val="2"/>
    </font>
    <font>
      <sz val="9"/>
      <color indexed="10"/>
      <name val="Times New Roman"/>
      <family val="1"/>
    </font>
    <font>
      <sz val="9"/>
      <name val="Arial"/>
      <family val="2"/>
    </font>
    <font>
      <sz val="9"/>
      <name val="Calibri"/>
      <family val="2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</fonts>
  <fills count="8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theme="0"/>
      </top>
      <bottom style="thick">
        <color theme="0" tint="-0.14996795556505021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0"/>
      </bottom>
      <diagonal/>
    </border>
    <border>
      <left/>
      <right/>
      <top style="thick">
        <color theme="0" tint="-0.14996795556505021"/>
      </top>
      <bottom/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n">
        <color indexed="64"/>
      </right>
      <top style="thin">
        <color indexed="64"/>
      </top>
      <bottom/>
      <diagonal/>
    </border>
    <border>
      <left/>
      <right style="thick">
        <color theme="3"/>
      </right>
      <top style="thin">
        <color indexed="64"/>
      </top>
      <bottom/>
      <diagonal/>
    </border>
    <border>
      <left style="thick">
        <color theme="3"/>
      </left>
      <right style="thin">
        <color indexed="64"/>
      </right>
      <top/>
      <bottom style="thin">
        <color indexed="64"/>
      </bottom>
      <diagonal/>
    </border>
    <border>
      <left/>
      <right style="thick">
        <color theme="3"/>
      </right>
      <top/>
      <bottom style="thin">
        <color indexed="64"/>
      </bottom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 style="thin">
        <color indexed="64"/>
      </top>
      <bottom style="thin">
        <color indexed="64"/>
      </bottom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6" fillId="0" borderId="0"/>
    <xf numFmtId="0" fontId="26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26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60" fillId="19" borderId="40" applyNumberFormat="0" applyAlignment="0" applyProtection="0"/>
    <xf numFmtId="0" fontId="61" fillId="20" borderId="41" applyNumberFormat="0" applyAlignment="0" applyProtection="0"/>
    <xf numFmtId="0" fontId="62" fillId="20" borderId="40" applyNumberFormat="0" applyAlignment="0" applyProtection="0"/>
    <xf numFmtId="0" fontId="63" fillId="0" borderId="42" applyNumberFormat="0" applyFill="0" applyAlignment="0" applyProtection="0"/>
    <xf numFmtId="0" fontId="64" fillId="21" borderId="43" applyNumberFormat="0" applyAlignment="0" applyProtection="0"/>
    <xf numFmtId="0" fontId="65" fillId="0" borderId="0" applyNumberFormat="0" applyFill="0" applyBorder="0" applyAlignment="0" applyProtection="0"/>
    <xf numFmtId="0" fontId="1" fillId="22" borderId="44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45" applyNumberFormat="0" applyFill="0" applyAlignment="0" applyProtection="0"/>
    <xf numFmtId="0" fontId="6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6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6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68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6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9" fillId="47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0" fontId="69" fillId="48" borderId="0" applyNumberFormat="0" applyBorder="0" applyAlignment="0" applyProtection="0"/>
    <xf numFmtId="0" fontId="69" fillId="49" borderId="0" applyNumberFormat="0" applyBorder="0" applyAlignment="0" applyProtection="0"/>
    <xf numFmtId="0" fontId="69" fillId="49" borderId="0" applyNumberFormat="0" applyBorder="0" applyAlignment="0" applyProtection="0"/>
    <xf numFmtId="0" fontId="69" fillId="50" borderId="0" applyNumberFormat="0" applyBorder="0" applyAlignment="0" applyProtection="0"/>
    <xf numFmtId="0" fontId="69" fillId="50" borderId="0" applyNumberFormat="0" applyBorder="0" applyAlignment="0" applyProtection="0"/>
    <xf numFmtId="0" fontId="69" fillId="51" borderId="0" applyNumberFormat="0" applyBorder="0" applyAlignment="0" applyProtection="0"/>
    <xf numFmtId="0" fontId="69" fillId="51" borderId="0" applyNumberFormat="0" applyBorder="0" applyAlignment="0" applyProtection="0"/>
    <xf numFmtId="0" fontId="69" fillId="52" borderId="0" applyNumberFormat="0" applyBorder="0" applyAlignment="0" applyProtection="0"/>
    <xf numFmtId="0" fontId="69" fillId="52" borderId="0" applyNumberFormat="0" applyBorder="0" applyAlignment="0" applyProtection="0"/>
    <xf numFmtId="0" fontId="69" fillId="53" borderId="0" applyNumberFormat="0" applyBorder="0" applyAlignment="0" applyProtection="0"/>
    <xf numFmtId="0" fontId="69" fillId="53" borderId="0" applyNumberFormat="0" applyBorder="0" applyAlignment="0" applyProtection="0"/>
    <xf numFmtId="0" fontId="69" fillId="54" borderId="0" applyNumberFormat="0" applyBorder="0" applyAlignment="0" applyProtection="0"/>
    <xf numFmtId="0" fontId="69" fillId="54" borderId="0" applyNumberFormat="0" applyBorder="0" applyAlignment="0" applyProtection="0"/>
    <xf numFmtId="0" fontId="69" fillId="55" borderId="0" applyNumberFormat="0" applyBorder="0" applyAlignment="0" applyProtection="0"/>
    <xf numFmtId="0" fontId="69" fillId="55" borderId="0" applyNumberFormat="0" applyBorder="0" applyAlignment="0" applyProtection="0"/>
    <xf numFmtId="0" fontId="69" fillId="50" borderId="0" applyNumberFormat="0" applyBorder="0" applyAlignment="0" applyProtection="0"/>
    <xf numFmtId="0" fontId="69" fillId="50" borderId="0" applyNumberFormat="0" applyBorder="0" applyAlignment="0" applyProtection="0"/>
    <xf numFmtId="0" fontId="69" fillId="53" borderId="0" applyNumberFormat="0" applyBorder="0" applyAlignment="0" applyProtection="0"/>
    <xf numFmtId="0" fontId="69" fillId="53" borderId="0" applyNumberFormat="0" applyBorder="0" applyAlignment="0" applyProtection="0"/>
    <xf numFmtId="0" fontId="69" fillId="56" borderId="0" applyNumberFormat="0" applyBorder="0" applyAlignment="0" applyProtection="0"/>
    <xf numFmtId="0" fontId="69" fillId="56" borderId="0" applyNumberFormat="0" applyBorder="0" applyAlignment="0" applyProtection="0"/>
    <xf numFmtId="0" fontId="68" fillId="26" borderId="0" applyNumberFormat="0" applyBorder="0" applyAlignment="0" applyProtection="0"/>
    <xf numFmtId="0" fontId="70" fillId="57" borderId="0" applyNumberFormat="0" applyBorder="0" applyAlignment="0" applyProtection="0"/>
    <xf numFmtId="0" fontId="68" fillId="30" borderId="0" applyNumberFormat="0" applyBorder="0" applyAlignment="0" applyProtection="0"/>
    <xf numFmtId="0" fontId="70" fillId="54" borderId="0" applyNumberFormat="0" applyBorder="0" applyAlignment="0" applyProtection="0"/>
    <xf numFmtId="0" fontId="68" fillId="34" borderId="0" applyNumberFormat="0" applyBorder="0" applyAlignment="0" applyProtection="0"/>
    <xf numFmtId="0" fontId="70" fillId="55" borderId="0" applyNumberFormat="0" applyBorder="0" applyAlignment="0" applyProtection="0"/>
    <xf numFmtId="0" fontId="68" fillId="38" borderId="0" applyNumberFormat="0" applyBorder="0" applyAlignment="0" applyProtection="0"/>
    <xf numFmtId="0" fontId="70" fillId="58" borderId="0" applyNumberFormat="0" applyBorder="0" applyAlignment="0" applyProtection="0"/>
    <xf numFmtId="0" fontId="68" fillId="42" borderId="0" applyNumberFormat="0" applyBorder="0" applyAlignment="0" applyProtection="0"/>
    <xf numFmtId="0" fontId="70" fillId="59" borderId="0" applyNumberFormat="0" applyBorder="0" applyAlignment="0" applyProtection="0"/>
    <xf numFmtId="0" fontId="68" fillId="46" borderId="0" applyNumberFormat="0" applyBorder="0" applyAlignment="0" applyProtection="0"/>
    <xf numFmtId="0" fontId="70" fillId="60" borderId="0" applyNumberFormat="0" applyBorder="0" applyAlignment="0" applyProtection="0"/>
    <xf numFmtId="0" fontId="71" fillId="49" borderId="0" applyNumberFormat="0" applyBorder="0" applyAlignment="0" applyProtection="0"/>
    <xf numFmtId="0" fontId="72" fillId="61" borderId="46" applyNumberFormat="0" applyAlignment="0" applyProtection="0"/>
    <xf numFmtId="0" fontId="73" fillId="62" borderId="47" applyNumberFormat="0" applyAlignment="0" applyProtection="0"/>
    <xf numFmtId="0" fontId="74" fillId="0" borderId="48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5" fillId="0" borderId="49" applyNumberFormat="0" applyFill="0" applyAlignment="0" applyProtection="0"/>
    <xf numFmtId="0" fontId="76" fillId="0" borderId="0" applyNumberFormat="0" applyFill="0" applyBorder="0" applyAlignment="0" applyProtection="0"/>
    <xf numFmtId="0" fontId="70" fillId="63" borderId="0" applyNumberFormat="0" applyBorder="0" applyAlignment="0" applyProtection="0"/>
    <xf numFmtId="0" fontId="93" fillId="23" borderId="0" applyNumberFormat="0" applyBorder="0" applyAlignment="0" applyProtection="0"/>
    <xf numFmtId="0" fontId="93" fillId="23" borderId="0" applyNumberFormat="0" applyBorder="0" applyAlignment="0" applyProtection="0"/>
    <xf numFmtId="0" fontId="70" fillId="64" borderId="0" applyNumberFormat="0" applyBorder="0" applyAlignment="0" applyProtection="0"/>
    <xf numFmtId="0" fontId="70" fillId="65" borderId="0" applyNumberFormat="0" applyBorder="0" applyAlignment="0" applyProtection="0"/>
    <xf numFmtId="0" fontId="70" fillId="58" borderId="0" applyNumberFormat="0" applyBorder="0" applyAlignment="0" applyProtection="0"/>
    <xf numFmtId="0" fontId="70" fillId="59" borderId="0" applyNumberFormat="0" applyBorder="0" applyAlignment="0" applyProtection="0"/>
    <xf numFmtId="0" fontId="70" fillId="66" borderId="0" applyNumberFormat="0" applyBorder="0" applyAlignment="0" applyProtection="0"/>
    <xf numFmtId="0" fontId="77" fillId="52" borderId="46" applyNumberFormat="0" applyAlignment="0" applyProtection="0"/>
    <xf numFmtId="175" fontId="26" fillId="0" borderId="0" applyFont="0" applyFill="0" applyBorder="0" applyAlignment="0" applyProtection="0"/>
    <xf numFmtId="174" fontId="87" fillId="0" borderId="0">
      <protection locked="0"/>
    </xf>
    <xf numFmtId="174" fontId="87" fillId="0" borderId="0">
      <protection locked="0"/>
    </xf>
    <xf numFmtId="174" fontId="88" fillId="0" borderId="0">
      <protection locked="0"/>
    </xf>
    <xf numFmtId="174" fontId="87" fillId="0" borderId="0">
      <protection locked="0"/>
    </xf>
    <xf numFmtId="174" fontId="87" fillId="0" borderId="0">
      <protection locked="0"/>
    </xf>
    <xf numFmtId="174" fontId="87" fillId="0" borderId="0">
      <protection locked="0"/>
    </xf>
    <xf numFmtId="174" fontId="88" fillId="0" borderId="0"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78" fillId="4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94" fillId="18" borderId="0" applyNumberFormat="0" applyBorder="0" applyAlignment="0" applyProtection="0"/>
    <xf numFmtId="0" fontId="79" fillId="6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69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68" borderId="50" applyNumberFormat="0" applyFont="0" applyAlignment="0" applyProtection="0"/>
    <xf numFmtId="40" fontId="89" fillId="69" borderId="0">
      <alignment horizontal="right"/>
    </xf>
    <xf numFmtId="0" fontId="90" fillId="69" borderId="0">
      <alignment horizontal="right"/>
    </xf>
    <xf numFmtId="0" fontId="91" fillId="69" borderId="8"/>
    <xf numFmtId="0" fontId="91" fillId="0" borderId="0" applyBorder="0">
      <alignment horizontal="centerContinuous"/>
    </xf>
    <xf numFmtId="0" fontId="92" fillId="0" borderId="0" applyBorder="0">
      <alignment horizontal="centerContinuous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80" fillId="61" borderId="51" applyNumberFormat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4" fillId="0" borderId="52" applyNumberFormat="0" applyFill="0" applyAlignment="0" applyProtection="0"/>
    <xf numFmtId="0" fontId="76" fillId="0" borderId="53" applyNumberFormat="0" applyFill="0" applyAlignment="0" applyProtection="0"/>
    <xf numFmtId="0" fontId="8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5" fillId="0" borderId="54" applyNumberFormat="0" applyFill="0" applyAlignment="0" applyProtection="0"/>
    <xf numFmtId="0" fontId="96" fillId="0" borderId="0"/>
    <xf numFmtId="0" fontId="1" fillId="0" borderId="0"/>
    <xf numFmtId="0" fontId="105" fillId="0" borderId="0"/>
    <xf numFmtId="0" fontId="105" fillId="0" borderId="0"/>
    <xf numFmtId="0" fontId="1" fillId="0" borderId="0"/>
    <xf numFmtId="9" fontId="1" fillId="0" borderId="0" applyFont="0" applyFill="0" applyBorder="0" applyAlignment="0" applyProtection="0"/>
  </cellStyleXfs>
  <cellXfs count="540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Continuous" vertical="center" wrapText="1"/>
    </xf>
    <xf numFmtId="0" fontId="4" fillId="2" borderId="2" xfId="1" applyFont="1" applyFill="1" applyBorder="1" applyAlignment="1">
      <alignment horizontal="centerContinuous" vertical="center" wrapText="1"/>
    </xf>
    <xf numFmtId="0" fontId="6" fillId="0" borderId="3" xfId="1" applyFont="1" applyBorder="1" applyAlignment="1">
      <alignment horizontal="left" vertical="center"/>
    </xf>
    <xf numFmtId="0" fontId="6" fillId="3" borderId="4" xfId="1" applyFont="1" applyFill="1" applyBorder="1" applyAlignment="1">
      <alignment horizontal="centerContinuous" vertical="center"/>
    </xf>
    <xf numFmtId="0" fontId="7" fillId="3" borderId="5" xfId="1" applyFont="1" applyFill="1" applyBorder="1" applyAlignment="1">
      <alignment horizontal="centerContinuous" vertical="center"/>
    </xf>
    <xf numFmtId="0" fontId="6" fillId="0" borderId="1" xfId="1" applyFont="1" applyBorder="1" applyAlignment="1">
      <alignment horizontal="center" vertical="center"/>
    </xf>
    <xf numFmtId="164" fontId="8" fillId="0" borderId="2" xfId="2" applyNumberFormat="1" applyFont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165" fontId="10" fillId="0" borderId="0" xfId="1" applyNumberFormat="1" applyFont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4" fontId="11" fillId="3" borderId="7" xfId="1" applyNumberFormat="1" applyFont="1" applyFill="1" applyBorder="1" applyAlignment="1">
      <alignment horizontal="right" vertical="center"/>
    </xf>
    <xf numFmtId="164" fontId="8" fillId="6" borderId="8" xfId="2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4" fontId="11" fillId="3" borderId="9" xfId="1" applyNumberFormat="1" applyFont="1" applyFill="1" applyBorder="1" applyAlignment="1">
      <alignment horizontal="right" vertical="center"/>
    </xf>
    <xf numFmtId="164" fontId="8" fillId="6" borderId="3" xfId="2" applyNumberFormat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right" vertical="center"/>
    </xf>
    <xf numFmtId="4" fontId="11" fillId="6" borderId="0" xfId="1" applyNumberFormat="1" applyFont="1" applyFill="1" applyAlignment="1">
      <alignment horizontal="center" vertical="center"/>
    </xf>
    <xf numFmtId="0" fontId="4" fillId="6" borderId="0" xfId="1" applyFont="1" applyFill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4" fontId="10" fillId="6" borderId="0" xfId="1" applyNumberFormat="1" applyFont="1" applyFill="1" applyAlignment="1">
      <alignment horizontal="center" vertical="center"/>
    </xf>
    <xf numFmtId="0" fontId="10" fillId="6" borderId="0" xfId="1" applyFont="1" applyFill="1" applyAlignment="1">
      <alignment horizontal="left" vertical="center"/>
    </xf>
    <xf numFmtId="0" fontId="20" fillId="0" borderId="0" xfId="1" applyFont="1" applyAlignment="1">
      <alignment horizontal="left" vertical="center" indent="1"/>
    </xf>
    <xf numFmtId="0" fontId="15" fillId="0" borderId="2" xfId="0" applyFont="1" applyBorder="1" applyAlignment="1">
      <alignment horizontal="center" vertical="center" wrapText="1"/>
    </xf>
    <xf numFmtId="0" fontId="5" fillId="4" borderId="7" xfId="1" applyFont="1" applyFill="1" applyBorder="1" applyAlignment="1">
      <alignment horizontal="right" vertical="center"/>
    </xf>
    <xf numFmtId="0" fontId="5" fillId="4" borderId="0" xfId="1" applyFont="1" applyFill="1" applyAlignment="1">
      <alignment horizontal="center" vertical="center"/>
    </xf>
    <xf numFmtId="0" fontId="5" fillId="4" borderId="19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7" xfId="1" applyFont="1" applyBorder="1" applyAlignment="1">
      <alignment horizontal="left" vertical="center" indent="2"/>
    </xf>
    <xf numFmtId="0" fontId="4" fillId="0" borderId="10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5" fillId="4" borderId="17" xfId="1" applyFont="1" applyFill="1" applyBorder="1" applyAlignment="1">
      <alignment horizontal="center" vertical="center"/>
    </xf>
    <xf numFmtId="0" fontId="5" fillId="4" borderId="16" xfId="1" applyFont="1" applyFill="1" applyBorder="1" applyAlignment="1">
      <alignment horizontal="center" vertical="center"/>
    </xf>
    <xf numFmtId="2" fontId="5" fillId="4" borderId="16" xfId="1" applyNumberFormat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2" fontId="4" fillId="0" borderId="19" xfId="1" applyNumberFormat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5" fillId="4" borderId="4" xfId="1" applyFont="1" applyFill="1" applyBorder="1" applyAlignment="1">
      <alignment horizontal="right" vertical="center"/>
    </xf>
    <xf numFmtId="2" fontId="4" fillId="0" borderId="18" xfId="1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9" xfId="1" quotePrefix="1" applyFont="1" applyBorder="1" applyAlignment="1">
      <alignment horizontal="center" vertical="center"/>
    </xf>
    <xf numFmtId="0" fontId="11" fillId="0" borderId="19" xfId="1" quotePrefix="1" applyFont="1" applyBorder="1" applyAlignment="1">
      <alignment horizontal="center" vertical="center"/>
    </xf>
    <xf numFmtId="0" fontId="4" fillId="0" borderId="19" xfId="0" quotePrefix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indent="2"/>
    </xf>
    <xf numFmtId="0" fontId="4" fillId="8" borderId="19" xfId="0" quotePrefix="1" applyFont="1" applyFill="1" applyBorder="1" applyAlignment="1">
      <alignment horizontal="center" vertical="center"/>
    </xf>
    <xf numFmtId="0" fontId="26" fillId="0" borderId="0" xfId="4"/>
    <xf numFmtId="0" fontId="4" fillId="0" borderId="9" xfId="1" applyFont="1" applyBorder="1" applyAlignment="1">
      <alignment horizontal="left" vertical="center" indent="2"/>
    </xf>
    <xf numFmtId="0" fontId="4" fillId="4" borderId="0" xfId="1" applyFont="1" applyFill="1" applyAlignment="1">
      <alignment horizontal="center" vertical="center"/>
    </xf>
    <xf numFmtId="0" fontId="4" fillId="4" borderId="17" xfId="1" applyFont="1" applyFill="1" applyBorder="1" applyAlignment="1">
      <alignment horizontal="center" vertical="center"/>
    </xf>
    <xf numFmtId="0" fontId="4" fillId="4" borderId="19" xfId="1" applyFont="1" applyFill="1" applyBorder="1" applyAlignment="1">
      <alignment horizontal="center" vertical="center"/>
    </xf>
    <xf numFmtId="0" fontId="4" fillId="4" borderId="16" xfId="1" applyFont="1" applyFill="1" applyBorder="1" applyAlignment="1">
      <alignment horizontal="center" vertical="center"/>
    </xf>
    <xf numFmtId="2" fontId="29" fillId="0" borderId="19" xfId="0" applyNumberFormat="1" applyFont="1" applyBorder="1" applyAlignment="1">
      <alignment horizontal="center" vertical="center"/>
    </xf>
    <xf numFmtId="2" fontId="5" fillId="4" borderId="19" xfId="1" applyNumberFormat="1" applyFont="1" applyFill="1" applyBorder="1" applyAlignment="1">
      <alignment horizontal="center" vertical="center"/>
    </xf>
    <xf numFmtId="0" fontId="4" fillId="0" borderId="0" xfId="8" applyFont="1" applyAlignment="1">
      <alignment horizontal="center" vertical="center"/>
    </xf>
    <xf numFmtId="0" fontId="4" fillId="0" borderId="19" xfId="8" applyFont="1" applyBorder="1" applyAlignment="1">
      <alignment horizontal="center" vertical="center"/>
    </xf>
    <xf numFmtId="0" fontId="4" fillId="0" borderId="7" xfId="8" applyFont="1" applyBorder="1" applyAlignment="1">
      <alignment horizontal="left" vertical="center" indent="2"/>
    </xf>
    <xf numFmtId="0" fontId="31" fillId="0" borderId="0" xfId="0" applyFont="1" applyAlignment="1">
      <alignment horizontal="center" vertical="center"/>
    </xf>
    <xf numFmtId="0" fontId="31" fillId="0" borderId="0" xfId="0" applyFont="1"/>
    <xf numFmtId="0" fontId="32" fillId="0" borderId="0" xfId="0" applyFont="1" applyAlignment="1">
      <alignment horizontal="center" vertical="center"/>
    </xf>
    <xf numFmtId="0" fontId="32" fillId="0" borderId="0" xfId="0" applyFont="1"/>
    <xf numFmtId="0" fontId="33" fillId="10" borderId="6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17" fontId="30" fillId="12" borderId="20" xfId="0" applyNumberFormat="1" applyFont="1" applyFill="1" applyBorder="1" applyAlignment="1">
      <alignment horizontal="center" vertical="center"/>
    </xf>
    <xf numFmtId="17" fontId="32" fillId="12" borderId="20" xfId="0" applyNumberFormat="1" applyFont="1" applyFill="1" applyBorder="1" applyAlignment="1">
      <alignment horizontal="center" vertical="center"/>
    </xf>
    <xf numFmtId="168" fontId="31" fillId="12" borderId="20" xfId="11" applyFont="1" applyFill="1" applyBorder="1"/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indent="1"/>
    </xf>
    <xf numFmtId="4" fontId="36" fillId="0" borderId="0" xfId="0" applyNumberFormat="1" applyFont="1" applyAlignment="1">
      <alignment horizontal="center" vertical="center"/>
    </xf>
    <xf numFmtId="4" fontId="36" fillId="0" borderId="0" xfId="11" applyNumberFormat="1" applyFont="1" applyAlignment="1">
      <alignment horizontal="right" vertical="center"/>
    </xf>
    <xf numFmtId="168" fontId="31" fillId="0" borderId="0" xfId="0" applyNumberFormat="1" applyFont="1"/>
    <xf numFmtId="168" fontId="31" fillId="0" borderId="0" xfId="11" applyFont="1" applyBorder="1" applyAlignment="1">
      <alignment horizontal="right"/>
    </xf>
    <xf numFmtId="168" fontId="36" fillId="0" borderId="0" xfId="11" applyFont="1" applyAlignment="1">
      <alignment horizontal="right" vertical="center"/>
    </xf>
    <xf numFmtId="170" fontId="31" fillId="0" borderId="0" xfId="11" applyNumberFormat="1" applyFont="1" applyFill="1"/>
    <xf numFmtId="0" fontId="33" fillId="10" borderId="21" xfId="0" applyFont="1" applyFill="1" applyBorder="1" applyAlignment="1">
      <alignment horizontal="center" vertical="center"/>
    </xf>
    <xf numFmtId="170" fontId="31" fillId="0" borderId="0" xfId="11" applyNumberFormat="1" applyFont="1" applyFill="1" applyAlignment="1">
      <alignment horizontal="center" vertical="center"/>
    </xf>
    <xf numFmtId="170" fontId="35" fillId="11" borderId="20" xfId="11" applyNumberFormat="1" applyFont="1" applyFill="1" applyBorder="1"/>
    <xf numFmtId="170" fontId="31" fillId="0" borderId="0" xfId="11" applyNumberFormat="1" applyFont="1" applyFill="1" applyAlignment="1">
      <alignment horizontal="right"/>
    </xf>
    <xf numFmtId="170" fontId="31" fillId="0" borderId="0" xfId="11" applyNumberFormat="1" applyFont="1" applyAlignment="1">
      <alignment horizontal="right" vertical="center"/>
    </xf>
    <xf numFmtId="168" fontId="31" fillId="0" borderId="0" xfId="11" applyFont="1" applyAlignment="1">
      <alignment horizontal="right" vertical="center"/>
    </xf>
    <xf numFmtId="168" fontId="31" fillId="0" borderId="0" xfId="11" applyFont="1" applyAlignment="1">
      <alignment horizontal="right"/>
    </xf>
    <xf numFmtId="168" fontId="31" fillId="0" borderId="0" xfId="11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6" fillId="13" borderId="4" xfId="0" applyFont="1" applyFill="1" applyBorder="1" applyAlignment="1">
      <alignment horizontal="centerContinuous" vertical="center"/>
    </xf>
    <xf numFmtId="0" fontId="11" fillId="13" borderId="5" xfId="0" applyFont="1" applyFill="1" applyBorder="1" applyAlignment="1">
      <alignment horizontal="centerContinuous" vertical="center"/>
    </xf>
    <xf numFmtId="0" fontId="6" fillId="13" borderId="5" xfId="0" applyFont="1" applyFill="1" applyBorder="1" applyAlignment="1">
      <alignment horizontal="centerContinuous" vertical="center"/>
    </xf>
    <xf numFmtId="0" fontId="6" fillId="13" borderId="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6" fillId="12" borderId="1" xfId="0" applyNumberFormat="1" applyFont="1" applyFill="1" applyBorder="1" applyAlignment="1">
      <alignment horizontal="right" vertical="center"/>
    </xf>
    <xf numFmtId="9" fontId="37" fillId="0" borderId="2" xfId="12" applyFont="1" applyFill="1" applyBorder="1" applyAlignment="1">
      <alignment horizontal="center" vertical="center"/>
    </xf>
    <xf numFmtId="165" fontId="38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9" fillId="0" borderId="0" xfId="0" applyFont="1" applyAlignment="1">
      <alignment horizontal="right" vertical="center"/>
    </xf>
    <xf numFmtId="9" fontId="39" fillId="0" borderId="0" xfId="12" applyFont="1" applyFill="1" applyAlignment="1">
      <alignment horizontal="center" vertical="center"/>
    </xf>
    <xf numFmtId="3" fontId="39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4" fontId="40" fillId="0" borderId="0" xfId="0" applyNumberFormat="1" applyFont="1" applyAlignment="1">
      <alignment horizontal="right" vertical="center"/>
    </xf>
    <xf numFmtId="164" fontId="40" fillId="0" borderId="0" xfId="12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right" vertical="center"/>
    </xf>
    <xf numFmtId="164" fontId="37" fillId="0" borderId="8" xfId="12" applyNumberFormat="1" applyFont="1" applyFill="1" applyBorder="1" applyAlignment="1">
      <alignment horizontal="center" vertical="center"/>
    </xf>
    <xf numFmtId="165" fontId="38" fillId="0" borderId="7" xfId="0" applyNumberFormat="1" applyFont="1" applyBorder="1" applyAlignment="1">
      <alignment horizontal="center" vertical="center"/>
    </xf>
    <xf numFmtId="166" fontId="38" fillId="0" borderId="8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right" vertical="center"/>
    </xf>
    <xf numFmtId="164" fontId="37" fillId="0" borderId="3" xfId="12" applyNumberFormat="1" applyFont="1" applyFill="1" applyBorder="1" applyAlignment="1">
      <alignment horizontal="center" vertical="center"/>
    </xf>
    <xf numFmtId="165" fontId="38" fillId="0" borderId="9" xfId="0" applyNumberFormat="1" applyFont="1" applyBorder="1" applyAlignment="1">
      <alignment horizontal="center" vertical="center"/>
    </xf>
    <xf numFmtId="166" fontId="38" fillId="0" borderId="3" xfId="0" applyNumberFormat="1" applyFont="1" applyBorder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166" fontId="38" fillId="0" borderId="6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12" borderId="4" xfId="0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horizontal="center" vertical="center"/>
    </xf>
    <xf numFmtId="0" fontId="11" fillId="14" borderId="17" xfId="0" applyFont="1" applyFill="1" applyBorder="1" applyAlignment="1">
      <alignment horizontal="center" vertical="center"/>
    </xf>
    <xf numFmtId="0" fontId="11" fillId="12" borderId="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7" fontId="11" fillId="0" borderId="9" xfId="0" applyNumberFormat="1" applyFont="1" applyBorder="1" applyAlignment="1">
      <alignment horizontal="center" vertical="center"/>
    </xf>
    <xf numFmtId="17" fontId="11" fillId="0" borderId="10" xfId="0" applyNumberFormat="1" applyFont="1" applyBorder="1" applyAlignment="1">
      <alignment horizontal="center" vertical="center"/>
    </xf>
    <xf numFmtId="17" fontId="11" fillId="0" borderId="3" xfId="0" applyNumberFormat="1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71" fontId="11" fillId="0" borderId="9" xfId="0" applyNumberFormat="1" applyFont="1" applyBorder="1" applyAlignment="1">
      <alignment horizontal="center" vertical="center"/>
    </xf>
    <xf numFmtId="171" fontId="11" fillId="0" borderId="10" xfId="0" applyNumberFormat="1" applyFont="1" applyBorder="1" applyAlignment="1">
      <alignment horizontal="center" vertical="center"/>
    </xf>
    <xf numFmtId="171" fontId="11" fillId="0" borderId="3" xfId="0" applyNumberFormat="1" applyFont="1" applyBorder="1" applyAlignment="1">
      <alignment horizontal="center" vertical="center"/>
    </xf>
    <xf numFmtId="169" fontId="38" fillId="0" borderId="18" xfId="0" applyNumberFormat="1" applyFont="1" applyBorder="1" applyAlignment="1">
      <alignment horizontal="center" vertical="center"/>
    </xf>
    <xf numFmtId="0" fontId="6" fillId="13" borderId="6" xfId="0" applyFont="1" applyFill="1" applyBorder="1" applyAlignment="1">
      <alignment horizontal="center" vertical="center"/>
    </xf>
    <xf numFmtId="0" fontId="6" fillId="13" borderId="13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41" fillId="13" borderId="2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165" fontId="11" fillId="0" borderId="17" xfId="0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65" fontId="12" fillId="0" borderId="5" xfId="0" applyNumberFormat="1" applyFont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center" vertical="center"/>
    </xf>
    <xf numFmtId="165" fontId="11" fillId="0" borderId="3" xfId="0" applyNumberFormat="1" applyFont="1" applyBorder="1" applyAlignment="1">
      <alignment horizontal="center" vertical="center"/>
    </xf>
    <xf numFmtId="165" fontId="12" fillId="0" borderId="3" xfId="0" applyNumberFormat="1" applyFont="1" applyBorder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1" fillId="15" borderId="16" xfId="0" applyFont="1" applyFill="1" applyBorder="1" applyAlignment="1">
      <alignment horizontal="center" vertical="center"/>
    </xf>
    <xf numFmtId="172" fontId="11" fillId="15" borderId="4" xfId="0" applyNumberFormat="1" applyFont="1" applyFill="1" applyBorder="1" applyAlignment="1">
      <alignment horizontal="center" vertical="center"/>
    </xf>
    <xf numFmtId="172" fontId="11" fillId="15" borderId="17" xfId="0" applyNumberFormat="1" applyFont="1" applyFill="1" applyBorder="1" applyAlignment="1">
      <alignment horizontal="center" vertical="center"/>
    </xf>
    <xf numFmtId="172" fontId="11" fillId="15" borderId="5" xfId="0" applyNumberFormat="1" applyFont="1" applyFill="1" applyBorder="1" applyAlignment="1">
      <alignment horizontal="center" vertical="center"/>
    </xf>
    <xf numFmtId="0" fontId="11" fillId="14" borderId="18" xfId="0" applyFont="1" applyFill="1" applyBorder="1" applyAlignment="1">
      <alignment horizontal="center" vertical="center"/>
    </xf>
    <xf numFmtId="172" fontId="11" fillId="14" borderId="9" xfId="0" applyNumberFormat="1" applyFont="1" applyFill="1" applyBorder="1" applyAlignment="1">
      <alignment horizontal="center" vertical="center"/>
    </xf>
    <xf numFmtId="172" fontId="11" fillId="14" borderId="10" xfId="0" applyNumberFormat="1" applyFont="1" applyFill="1" applyBorder="1" applyAlignment="1">
      <alignment horizontal="center" vertical="center"/>
    </xf>
    <xf numFmtId="172" fontId="11" fillId="14" borderId="3" xfId="0" applyNumberFormat="1" applyFont="1" applyFill="1" applyBorder="1" applyAlignment="1">
      <alignment horizontal="center" vertical="center"/>
    </xf>
    <xf numFmtId="0" fontId="11" fillId="15" borderId="0" xfId="0" applyFont="1" applyFill="1" applyAlignment="1">
      <alignment horizontal="center" vertical="center"/>
    </xf>
    <xf numFmtId="169" fontId="11" fillId="15" borderId="0" xfId="0" applyNumberFormat="1" applyFont="1" applyFill="1" applyAlignment="1">
      <alignment horizontal="center" vertical="center"/>
    </xf>
    <xf numFmtId="0" fontId="11" fillId="14" borderId="0" xfId="0" applyFont="1" applyFill="1" applyAlignment="1">
      <alignment horizontal="center" vertical="center"/>
    </xf>
    <xf numFmtId="169" fontId="11" fillId="14" borderId="0" xfId="0" applyNumberFormat="1" applyFont="1" applyFill="1" applyAlignment="1">
      <alignment horizontal="center" vertical="center"/>
    </xf>
    <xf numFmtId="0" fontId="11" fillId="14" borderId="6" xfId="0" applyFont="1" applyFill="1" applyBorder="1" applyAlignment="1">
      <alignment horizontal="center" vertical="center"/>
    </xf>
    <xf numFmtId="172" fontId="11" fillId="14" borderId="1" xfId="0" applyNumberFormat="1" applyFont="1" applyFill="1" applyBorder="1" applyAlignment="1">
      <alignment horizontal="center" vertical="center"/>
    </xf>
    <xf numFmtId="172" fontId="11" fillId="14" borderId="13" xfId="0" applyNumberFormat="1" applyFont="1" applyFill="1" applyBorder="1" applyAlignment="1">
      <alignment horizontal="center" vertical="center"/>
    </xf>
    <xf numFmtId="172" fontId="11" fillId="14" borderId="2" xfId="0" applyNumberFormat="1" applyFont="1" applyFill="1" applyBorder="1" applyAlignment="1">
      <alignment horizontal="center" vertical="center"/>
    </xf>
    <xf numFmtId="0" fontId="42" fillId="9" borderId="24" xfId="0" applyFont="1" applyFill="1" applyBorder="1" applyAlignment="1">
      <alignment horizontal="left" vertical="center" indent="1"/>
    </xf>
    <xf numFmtId="0" fontId="43" fillId="9" borderId="25" xfId="0" applyFont="1" applyFill="1" applyBorder="1" applyAlignment="1">
      <alignment horizontal="center" vertical="center"/>
    </xf>
    <xf numFmtId="0" fontId="43" fillId="9" borderId="26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3" fillId="15" borderId="27" xfId="0" applyFont="1" applyFill="1" applyBorder="1" applyAlignment="1">
      <alignment horizontal="center" vertical="center"/>
    </xf>
    <xf numFmtId="172" fontId="43" fillId="15" borderId="4" xfId="0" applyNumberFormat="1" applyFont="1" applyFill="1" applyBorder="1" applyAlignment="1">
      <alignment horizontal="center" vertical="center"/>
    </xf>
    <xf numFmtId="172" fontId="43" fillId="15" borderId="17" xfId="0" applyNumberFormat="1" applyFont="1" applyFill="1" applyBorder="1" applyAlignment="1">
      <alignment horizontal="center" vertical="center"/>
    </xf>
    <xf numFmtId="172" fontId="43" fillId="15" borderId="28" xfId="0" applyNumberFormat="1" applyFont="1" applyFill="1" applyBorder="1" applyAlignment="1">
      <alignment horizontal="center" vertical="center"/>
    </xf>
    <xf numFmtId="0" fontId="43" fillId="14" borderId="29" xfId="0" applyFont="1" applyFill="1" applyBorder="1" applyAlignment="1">
      <alignment horizontal="center" vertical="center"/>
    </xf>
    <xf numFmtId="172" fontId="43" fillId="14" borderId="10" xfId="0" applyNumberFormat="1" applyFont="1" applyFill="1" applyBorder="1" applyAlignment="1">
      <alignment horizontal="center" vertical="center"/>
    </xf>
    <xf numFmtId="172" fontId="43" fillId="14" borderId="30" xfId="0" applyNumberFormat="1" applyFont="1" applyFill="1" applyBorder="1" applyAlignment="1">
      <alignment horizontal="center" vertical="center"/>
    </xf>
    <xf numFmtId="0" fontId="42" fillId="9" borderId="31" xfId="0" applyFont="1" applyFill="1" applyBorder="1" applyAlignment="1">
      <alignment horizontal="left" vertical="center" indent="1"/>
    </xf>
    <xf numFmtId="0" fontId="43" fillId="9" borderId="0" xfId="0" applyFont="1" applyFill="1" applyAlignment="1">
      <alignment horizontal="center" vertical="center"/>
    </xf>
    <xf numFmtId="0" fontId="45" fillId="9" borderId="0" xfId="0" applyFont="1" applyFill="1" applyAlignment="1">
      <alignment horizontal="center" vertical="center"/>
    </xf>
    <xf numFmtId="0" fontId="45" fillId="9" borderId="32" xfId="0" applyFont="1" applyFill="1" applyBorder="1" applyAlignment="1">
      <alignment horizontal="center" vertical="center"/>
    </xf>
    <xf numFmtId="0" fontId="46" fillId="0" borderId="0" xfId="0" applyFont="1" applyAlignment="1">
      <alignment horizontal="left"/>
    </xf>
    <xf numFmtId="0" fontId="43" fillId="15" borderId="33" xfId="0" applyFont="1" applyFill="1" applyBorder="1" applyAlignment="1">
      <alignment horizontal="center" vertical="center"/>
    </xf>
    <xf numFmtId="169" fontId="43" fillId="15" borderId="2" xfId="0" applyNumberFormat="1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172" fontId="47" fillId="0" borderId="0" xfId="0" applyNumberFormat="1" applyFont="1" applyAlignment="1">
      <alignment horizontal="center" vertical="center"/>
    </xf>
    <xf numFmtId="0" fontId="43" fillId="14" borderId="33" xfId="0" applyFont="1" applyFill="1" applyBorder="1" applyAlignment="1">
      <alignment horizontal="center" vertical="center"/>
    </xf>
    <xf numFmtId="169" fontId="43" fillId="14" borderId="2" xfId="0" applyNumberFormat="1" applyFont="1" applyFill="1" applyBorder="1" applyAlignment="1">
      <alignment horizontal="center" vertical="center"/>
    </xf>
    <xf numFmtId="0" fontId="45" fillId="9" borderId="34" xfId="0" applyFont="1" applyFill="1" applyBorder="1" applyAlignment="1">
      <alignment horizontal="center" vertical="center"/>
    </xf>
    <xf numFmtId="169" fontId="45" fillId="9" borderId="35" xfId="0" applyNumberFormat="1" applyFont="1" applyFill="1" applyBorder="1" applyAlignment="1">
      <alignment horizontal="center" vertical="center"/>
    </xf>
    <xf numFmtId="0" fontId="45" fillId="9" borderId="35" xfId="0" applyFont="1" applyFill="1" applyBorder="1" applyAlignment="1">
      <alignment horizontal="center" vertical="center"/>
    </xf>
    <xf numFmtId="0" fontId="45" fillId="9" borderId="36" xfId="0" applyFont="1" applyFill="1" applyBorder="1" applyAlignment="1">
      <alignment horizontal="center" vertical="center"/>
    </xf>
    <xf numFmtId="169" fontId="11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left" vertical="center" indent="1"/>
    </xf>
    <xf numFmtId="0" fontId="49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left" vertical="center" indent="1"/>
    </xf>
    <xf numFmtId="164" fontId="50" fillId="4" borderId="6" xfId="12" applyNumberFormat="1" applyFont="1" applyFill="1" applyBorder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1" fillId="0" borderId="13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165" fontId="52" fillId="0" borderId="6" xfId="0" applyNumberFormat="1" applyFont="1" applyBorder="1" applyAlignment="1">
      <alignment horizontal="center" vertical="center"/>
    </xf>
    <xf numFmtId="165" fontId="39" fillId="0" borderId="0" xfId="0" applyNumberFormat="1" applyFont="1" applyAlignment="1">
      <alignment horizontal="right" vertical="center"/>
    </xf>
    <xf numFmtId="0" fontId="49" fillId="0" borderId="16" xfId="0" applyFont="1" applyBorder="1" applyAlignment="1">
      <alignment horizontal="center" vertical="center"/>
    </xf>
    <xf numFmtId="165" fontId="49" fillId="15" borderId="4" xfId="0" applyNumberFormat="1" applyFont="1" applyFill="1" applyBorder="1" applyAlignment="1">
      <alignment horizontal="center" vertical="center"/>
    </xf>
    <xf numFmtId="165" fontId="49" fillId="15" borderId="17" xfId="0" applyNumberFormat="1" applyFont="1" applyFill="1" applyBorder="1" applyAlignment="1">
      <alignment horizontal="center" vertical="center"/>
    </xf>
    <xf numFmtId="165" fontId="49" fillId="15" borderId="5" xfId="0" applyNumberFormat="1" applyFont="1" applyFill="1" applyBorder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/>
    </xf>
    <xf numFmtId="164" fontId="40" fillId="0" borderId="19" xfId="12" applyNumberFormat="1" applyFont="1" applyFill="1" applyBorder="1" applyAlignment="1">
      <alignment horizontal="right" vertical="center"/>
    </xf>
    <xf numFmtId="164" fontId="39" fillId="0" borderId="0" xfId="12" applyNumberFormat="1" applyFont="1" applyFill="1" applyAlignment="1">
      <alignment horizontal="right" vertical="center"/>
    </xf>
    <xf numFmtId="0" fontId="49" fillId="0" borderId="18" xfId="0" applyFont="1" applyBorder="1" applyAlignment="1">
      <alignment horizontal="center" vertical="center"/>
    </xf>
    <xf numFmtId="165" fontId="49" fillId="15" borderId="9" xfId="0" applyNumberFormat="1" applyFont="1" applyFill="1" applyBorder="1" applyAlignment="1">
      <alignment horizontal="center" vertical="center"/>
    </xf>
    <xf numFmtId="165" fontId="49" fillId="15" borderId="10" xfId="0" applyNumberFormat="1" applyFont="1" applyFill="1" applyBorder="1" applyAlignment="1">
      <alignment horizontal="center" vertical="center"/>
    </xf>
    <xf numFmtId="165" fontId="49" fillId="15" borderId="3" xfId="0" applyNumberFormat="1" applyFont="1" applyFill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164" fontId="40" fillId="0" borderId="18" xfId="12" applyNumberFormat="1" applyFont="1" applyFill="1" applyBorder="1" applyAlignment="1">
      <alignment horizontal="right" vertical="center"/>
    </xf>
    <xf numFmtId="0" fontId="38" fillId="0" borderId="0" xfId="0" applyFont="1" applyAlignment="1">
      <alignment horizontal="center" vertical="center"/>
    </xf>
    <xf numFmtId="165" fontId="49" fillId="0" borderId="0" xfId="0" applyNumberFormat="1" applyFont="1" applyAlignment="1">
      <alignment horizontal="left" vertical="center" indent="1"/>
    </xf>
    <xf numFmtId="164" fontId="40" fillId="0" borderId="0" xfId="12" applyNumberFormat="1" applyFont="1" applyFill="1" applyAlignment="1">
      <alignment horizontal="center" vertical="center"/>
    </xf>
    <xf numFmtId="0" fontId="53" fillId="0" borderId="0" xfId="0" applyFont="1" applyAlignment="1">
      <alignment horizontal="left" vertical="center" indent="1"/>
    </xf>
    <xf numFmtId="0" fontId="53" fillId="0" borderId="0" xfId="0" applyFont="1" applyAlignment="1">
      <alignment horizontal="center" vertical="center"/>
    </xf>
    <xf numFmtId="164" fontId="40" fillId="4" borderId="6" xfId="12" applyNumberFormat="1" applyFont="1" applyFill="1" applyBorder="1" applyAlignment="1">
      <alignment horizontal="center" vertical="center"/>
    </xf>
    <xf numFmtId="166" fontId="20" fillId="0" borderId="0" xfId="0" applyNumberFormat="1" applyFont="1" applyAlignment="1">
      <alignment horizontal="right" vertical="center"/>
    </xf>
    <xf numFmtId="0" fontId="53" fillId="0" borderId="16" xfId="0" applyFont="1" applyBorder="1" applyAlignment="1">
      <alignment horizontal="center" vertical="center"/>
    </xf>
    <xf numFmtId="165" fontId="53" fillId="15" borderId="4" xfId="0" applyNumberFormat="1" applyFont="1" applyFill="1" applyBorder="1" applyAlignment="1">
      <alignment horizontal="center" vertical="center"/>
    </xf>
    <xf numFmtId="165" fontId="53" fillId="15" borderId="17" xfId="0" applyNumberFormat="1" applyFont="1" applyFill="1" applyBorder="1" applyAlignment="1">
      <alignment horizontal="center" vertical="center"/>
    </xf>
    <xf numFmtId="165" fontId="53" fillId="15" borderId="5" xfId="0" applyNumberFormat="1" applyFont="1" applyFill="1" applyBorder="1" applyAlignment="1">
      <alignment horizontal="center" vertical="center"/>
    </xf>
    <xf numFmtId="0" fontId="53" fillId="0" borderId="18" xfId="0" applyFont="1" applyBorder="1" applyAlignment="1">
      <alignment horizontal="center" vertical="center"/>
    </xf>
    <xf numFmtId="165" fontId="53" fillId="15" borderId="9" xfId="0" applyNumberFormat="1" applyFont="1" applyFill="1" applyBorder="1" applyAlignment="1">
      <alignment horizontal="center" vertical="center"/>
    </xf>
    <xf numFmtId="165" fontId="53" fillId="15" borderId="10" xfId="0" applyNumberFormat="1" applyFont="1" applyFill="1" applyBorder="1" applyAlignment="1">
      <alignment horizontal="center" vertical="center"/>
    </xf>
    <xf numFmtId="165" fontId="53" fillId="15" borderId="3" xfId="0" applyNumberFormat="1" applyFont="1" applyFill="1" applyBorder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3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vertical="center"/>
    </xf>
    <xf numFmtId="4" fontId="39" fillId="0" borderId="0" xfId="0" applyNumberFormat="1" applyFont="1" applyAlignment="1">
      <alignment horizontal="center" vertical="center"/>
    </xf>
    <xf numFmtId="4" fontId="6" fillId="5" borderId="1" xfId="0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centerContinuous" vertical="center"/>
    </xf>
    <xf numFmtId="0" fontId="7" fillId="4" borderId="5" xfId="0" applyFont="1" applyFill="1" applyBorder="1" applyAlignment="1">
      <alignment horizontal="centerContinuous" vertical="center"/>
    </xf>
    <xf numFmtId="0" fontId="7" fillId="4" borderId="5" xfId="0" applyFont="1" applyFill="1" applyBorder="1" applyAlignment="1">
      <alignment horizontal="center" vertical="center"/>
    </xf>
    <xf numFmtId="164" fontId="8" fillId="0" borderId="2" xfId="12" applyNumberFormat="1" applyFont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4" fontId="12" fillId="4" borderId="7" xfId="0" applyNumberFormat="1" applyFont="1" applyFill="1" applyBorder="1" applyAlignment="1">
      <alignment horizontal="center" vertical="center"/>
    </xf>
    <xf numFmtId="164" fontId="8" fillId="0" borderId="8" xfId="12" applyNumberFormat="1" applyFont="1" applyBorder="1" applyAlignment="1">
      <alignment horizontal="center" vertical="center"/>
    </xf>
    <xf numFmtId="2" fontId="12" fillId="4" borderId="8" xfId="0" applyNumberFormat="1" applyFont="1" applyFill="1" applyBorder="1" applyAlignment="1">
      <alignment horizontal="center" vertical="center"/>
    </xf>
    <xf numFmtId="4" fontId="12" fillId="4" borderId="9" xfId="0" applyNumberFormat="1" applyFont="1" applyFill="1" applyBorder="1" applyAlignment="1">
      <alignment horizontal="center" vertical="center"/>
    </xf>
    <xf numFmtId="164" fontId="8" fillId="0" borderId="3" xfId="12" applyNumberFormat="1" applyFont="1" applyBorder="1" applyAlignment="1">
      <alignment horizontal="center" vertical="center"/>
    </xf>
    <xf numFmtId="2" fontId="12" fillId="4" borderId="3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/>
    </xf>
    <xf numFmtId="166" fontId="12" fillId="4" borderId="2" xfId="0" applyNumberFormat="1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18" fillId="7" borderId="14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" fontId="12" fillId="0" borderId="17" xfId="0" applyNumberFormat="1" applyFont="1" applyBorder="1" applyAlignment="1">
      <alignment horizontal="center" vertical="center"/>
    </xf>
    <xf numFmtId="4" fontId="12" fillId="0" borderId="16" xfId="0" applyNumberFormat="1" applyFont="1" applyBorder="1" applyAlignment="1">
      <alignment horizontal="center" vertical="center"/>
    </xf>
    <xf numFmtId="4" fontId="20" fillId="0" borderId="0" xfId="0" applyNumberFormat="1" applyFont="1" applyAlignment="1">
      <alignment horizontal="left" vertical="center" indent="1"/>
    </xf>
    <xf numFmtId="0" fontId="7" fillId="0" borderId="18" xfId="0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center" vertical="center"/>
    </xf>
    <xf numFmtId="4" fontId="12" fillId="0" borderId="18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2" fillId="0" borderId="0" xfId="0" applyFont="1" applyAlignment="1">
      <alignment horizontal="left" vertical="center" indent="1"/>
    </xf>
    <xf numFmtId="2" fontId="22" fillId="0" borderId="0" xfId="0" applyNumberFormat="1" applyFont="1" applyAlignment="1">
      <alignment horizontal="left" vertical="center" indent="1"/>
    </xf>
    <xf numFmtId="172" fontId="20" fillId="0" borderId="0" xfId="0" applyNumberFormat="1" applyFont="1" applyAlignment="1">
      <alignment horizontal="left" vertical="center" inden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23" fillId="0" borderId="7" xfId="8" applyFont="1" applyBorder="1" applyAlignment="1">
      <alignment horizontal="left" vertical="center" indent="1"/>
    </xf>
    <xf numFmtId="1" fontId="5" fillId="4" borderId="16" xfId="1" applyNumberFormat="1" applyFont="1" applyFill="1" applyBorder="1" applyAlignment="1">
      <alignment horizontal="center" vertical="center"/>
    </xf>
    <xf numFmtId="0" fontId="5" fillId="4" borderId="4" xfId="8" applyFont="1" applyFill="1" applyBorder="1" applyAlignment="1">
      <alignment horizontal="center" vertical="center"/>
    </xf>
    <xf numFmtId="0" fontId="5" fillId="4" borderId="17" xfId="8" applyFont="1" applyFill="1" applyBorder="1" applyAlignment="1">
      <alignment horizontal="center" vertical="center"/>
    </xf>
    <xf numFmtId="2" fontId="5" fillId="4" borderId="16" xfId="8" applyNumberFormat="1" applyFont="1" applyFill="1" applyBorder="1" applyAlignment="1">
      <alignment horizontal="center" vertical="center"/>
    </xf>
    <xf numFmtId="1" fontId="4" fillId="0" borderId="19" xfId="1" applyNumberFormat="1" applyFont="1" applyBorder="1" applyAlignment="1">
      <alignment horizontal="center" vertical="center"/>
    </xf>
    <xf numFmtId="0" fontId="4" fillId="0" borderId="9" xfId="8" applyFont="1" applyBorder="1" applyAlignment="1">
      <alignment horizontal="left" vertical="center" indent="3"/>
    </xf>
    <xf numFmtId="0" fontId="4" fillId="0" borderId="10" xfId="8" applyFont="1" applyBorder="1" applyAlignment="1">
      <alignment horizontal="center" vertical="center"/>
    </xf>
    <xf numFmtId="0" fontId="4" fillId="0" borderId="9" xfId="8" applyFont="1" applyBorder="1" applyAlignment="1">
      <alignment horizontal="center" vertical="center"/>
    </xf>
    <xf numFmtId="0" fontId="4" fillId="0" borderId="18" xfId="8" applyFont="1" applyBorder="1" applyAlignment="1">
      <alignment horizontal="center" vertical="center"/>
    </xf>
    <xf numFmtId="0" fontId="5" fillId="4" borderId="4" xfId="8" applyFont="1" applyFill="1" applyBorder="1" applyAlignment="1">
      <alignment horizontal="left" vertical="center"/>
    </xf>
    <xf numFmtId="2" fontId="4" fillId="0" borderId="18" xfId="8" applyNumberFormat="1" applyFont="1" applyBorder="1" applyAlignment="1">
      <alignment horizontal="center" vertical="center"/>
    </xf>
    <xf numFmtId="0" fontId="5" fillId="4" borderId="7" xfId="8" applyFont="1" applyFill="1" applyBorder="1" applyAlignment="1">
      <alignment horizontal="left" vertical="center"/>
    </xf>
    <xf numFmtId="0" fontId="5" fillId="4" borderId="0" xfId="8" applyFont="1" applyFill="1" applyAlignment="1">
      <alignment horizontal="center" vertical="center"/>
    </xf>
    <xf numFmtId="2" fontId="5" fillId="4" borderId="19" xfId="8" applyNumberFormat="1" applyFont="1" applyFill="1" applyBorder="1" applyAlignment="1">
      <alignment horizontal="center" vertical="center"/>
    </xf>
    <xf numFmtId="2" fontId="4" fillId="0" borderId="19" xfId="8" applyNumberFormat="1" applyFont="1" applyBorder="1" applyAlignment="1">
      <alignment horizontal="center" vertical="center"/>
    </xf>
    <xf numFmtId="0" fontId="11" fillId="0" borderId="7" xfId="8" applyFont="1" applyBorder="1" applyAlignment="1">
      <alignment horizontal="left" vertical="center" indent="2"/>
    </xf>
    <xf numFmtId="1" fontId="4" fillId="0" borderId="18" xfId="1" applyNumberFormat="1" applyFont="1" applyBorder="1" applyAlignment="1">
      <alignment horizontal="center" vertical="center"/>
    </xf>
    <xf numFmtId="0" fontId="4" fillId="0" borderId="7" xfId="8" applyFont="1" applyBorder="1" applyAlignment="1">
      <alignment horizontal="left" vertical="center" indent="3"/>
    </xf>
    <xf numFmtId="1" fontId="5" fillId="4" borderId="19" xfId="1" applyNumberFormat="1" applyFont="1" applyFill="1" applyBorder="1" applyAlignment="1">
      <alignment horizontal="center" vertical="center"/>
    </xf>
    <xf numFmtId="1" fontId="11" fillId="0" borderId="19" xfId="1" applyNumberFormat="1" applyFont="1" applyBorder="1" applyAlignment="1">
      <alignment horizontal="center" vertical="center"/>
    </xf>
    <xf numFmtId="2" fontId="25" fillId="0" borderId="19" xfId="0" applyNumberFormat="1" applyFont="1" applyBorder="1" applyAlignment="1">
      <alignment horizontal="center"/>
    </xf>
    <xf numFmtId="1" fontId="24" fillId="0" borderId="19" xfId="1" applyNumberFormat="1" applyFont="1" applyBorder="1" applyAlignment="1">
      <alignment horizontal="center" vertical="center"/>
    </xf>
    <xf numFmtId="0" fontId="4" fillId="0" borderId="3" xfId="8" applyFont="1" applyBorder="1" applyAlignment="1">
      <alignment horizontal="center" vertical="center"/>
    </xf>
    <xf numFmtId="0" fontId="5" fillId="4" borderId="19" xfId="8" applyFont="1" applyFill="1" applyBorder="1" applyAlignment="1">
      <alignment horizontal="center" vertical="center"/>
    </xf>
    <xf numFmtId="0" fontId="5" fillId="4" borderId="16" xfId="8" applyFont="1" applyFill="1" applyBorder="1" applyAlignment="1">
      <alignment horizontal="center" vertical="center"/>
    </xf>
    <xf numFmtId="2" fontId="5" fillId="4" borderId="5" xfId="8" applyNumberFormat="1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0" fillId="0" borderId="18" xfId="0" applyBorder="1"/>
    <xf numFmtId="2" fontId="97" fillId="0" borderId="19" xfId="189" applyNumberFormat="1" applyFont="1" applyBorder="1" applyAlignment="1">
      <alignment horizontal="center" vertical="center"/>
    </xf>
    <xf numFmtId="0" fontId="0" fillId="0" borderId="19" xfId="0" applyBorder="1"/>
    <xf numFmtId="2" fontId="97" fillId="70" borderId="19" xfId="189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indent="1"/>
    </xf>
    <xf numFmtId="0" fontId="4" fillId="0" borderId="7" xfId="190" applyFont="1" applyBorder="1" applyAlignment="1">
      <alignment horizontal="left" vertical="center" indent="2"/>
    </xf>
    <xf numFmtId="0" fontId="23" fillId="0" borderId="7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98" fillId="0" borderId="7" xfId="8" applyFont="1" applyBorder="1" applyAlignment="1">
      <alignment horizontal="left" vertical="center" indent="1"/>
    </xf>
    <xf numFmtId="4" fontId="97" fillId="70" borderId="19" xfId="189" applyNumberFormat="1" applyFont="1" applyFill="1" applyBorder="1" applyAlignment="1">
      <alignment horizontal="center" vertical="center"/>
    </xf>
    <xf numFmtId="2" fontId="21" fillId="0" borderId="19" xfId="0" applyNumberFormat="1" applyFont="1" applyBorder="1" applyAlignment="1">
      <alignment horizontal="center" vertical="center"/>
    </xf>
    <xf numFmtId="0" fontId="99" fillId="0" borderId="19" xfId="0" applyFont="1" applyBorder="1" applyAlignment="1">
      <alignment horizontal="center"/>
    </xf>
    <xf numFmtId="2" fontId="11" fillId="0" borderId="19" xfId="0" applyNumberFormat="1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100" fillId="0" borderId="19" xfId="0" applyFont="1" applyBorder="1" applyAlignment="1">
      <alignment horizontal="center"/>
    </xf>
    <xf numFmtId="172" fontId="38" fillId="0" borderId="16" xfId="0" applyNumberFormat="1" applyFont="1" applyBorder="1" applyAlignment="1">
      <alignment horizontal="center" vertical="center"/>
    </xf>
    <xf numFmtId="0" fontId="33" fillId="10" borderId="16" xfId="0" applyFont="1" applyFill="1" applyBorder="1" applyAlignment="1">
      <alignment horizontal="center" vertical="center"/>
    </xf>
    <xf numFmtId="0" fontId="33" fillId="10" borderId="22" xfId="0" applyFont="1" applyFill="1" applyBorder="1" applyAlignment="1">
      <alignment horizontal="center" vertical="center"/>
    </xf>
    <xf numFmtId="17" fontId="101" fillId="12" borderId="20" xfId="0" applyNumberFormat="1" applyFont="1" applyFill="1" applyBorder="1" applyAlignment="1">
      <alignment horizontal="center" vertical="center"/>
    </xf>
    <xf numFmtId="17" fontId="102" fillId="12" borderId="20" xfId="0" applyNumberFormat="1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0" fontId="104" fillId="0" borderId="0" xfId="0" applyFont="1" applyAlignment="1">
      <alignment horizontal="center" vertical="center"/>
    </xf>
    <xf numFmtId="0" fontId="106" fillId="0" borderId="55" xfId="191" applyFont="1" applyBorder="1" applyAlignment="1">
      <alignment vertical="center"/>
    </xf>
    <xf numFmtId="0" fontId="107" fillId="0" borderId="0" xfId="191" applyFont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106" fillId="0" borderId="55" xfId="191" applyFont="1" applyBorder="1" applyAlignment="1">
      <alignment horizontal="left" vertical="center"/>
    </xf>
    <xf numFmtId="0" fontId="106" fillId="0" borderId="0" xfId="191" applyFont="1" applyAlignment="1">
      <alignment horizontal="left" vertical="center"/>
    </xf>
    <xf numFmtId="0" fontId="106" fillId="0" borderId="0" xfId="191" applyFont="1" applyAlignment="1">
      <alignment vertical="center"/>
    </xf>
    <xf numFmtId="0" fontId="108" fillId="0" borderId="19" xfId="192" applyFont="1" applyBorder="1" applyAlignment="1">
      <alignment horizontal="center" vertical="center"/>
    </xf>
    <xf numFmtId="2" fontId="109" fillId="0" borderId="19" xfId="191" applyNumberFormat="1" applyFont="1" applyBorder="1" applyAlignment="1">
      <alignment horizontal="center"/>
    </xf>
    <xf numFmtId="1" fontId="108" fillId="0" borderId="19" xfId="192" applyNumberFormat="1" applyFont="1" applyBorder="1" applyAlignment="1">
      <alignment horizontal="center" vertical="center"/>
    </xf>
    <xf numFmtId="0" fontId="108" fillId="0" borderId="19" xfId="191" quotePrefix="1" applyFont="1" applyBorder="1" applyAlignment="1">
      <alignment horizontal="center" vertical="center"/>
    </xf>
    <xf numFmtId="0" fontId="108" fillId="0" borderId="19" xfId="191" applyFont="1" applyBorder="1" applyAlignment="1">
      <alignment horizontal="center" vertical="center"/>
    </xf>
    <xf numFmtId="0" fontId="110" fillId="71" borderId="0" xfId="191" applyFont="1" applyFill="1" applyAlignment="1">
      <alignment horizontal="left" vertical="center"/>
    </xf>
    <xf numFmtId="0" fontId="106" fillId="0" borderId="7" xfId="192" applyFont="1" applyBorder="1" applyAlignment="1">
      <alignment horizontal="left" vertical="center" indent="2"/>
    </xf>
    <xf numFmtId="0" fontId="106" fillId="0" borderId="7" xfId="191" applyFont="1" applyBorder="1" applyAlignment="1">
      <alignment horizontal="left" vertical="center" indent="2"/>
    </xf>
    <xf numFmtId="0" fontId="2" fillId="0" borderId="0" xfId="192" applyFont="1" applyAlignment="1">
      <alignment horizontal="center" vertical="center"/>
    </xf>
    <xf numFmtId="0" fontId="3" fillId="0" borderId="0" xfId="192" applyFont="1" applyAlignment="1">
      <alignment horizontal="left" vertical="center"/>
    </xf>
    <xf numFmtId="0" fontId="112" fillId="0" borderId="0" xfId="0" applyFont="1" applyAlignment="1">
      <alignment horizontal="center" vertical="center"/>
    </xf>
    <xf numFmtId="0" fontId="113" fillId="72" borderId="1" xfId="192" applyFont="1" applyFill="1" applyBorder="1" applyAlignment="1">
      <alignment horizontal="centerContinuous" vertical="center" wrapText="1"/>
    </xf>
    <xf numFmtId="0" fontId="112" fillId="72" borderId="2" xfId="192" applyFont="1" applyFill="1" applyBorder="1" applyAlignment="1">
      <alignment horizontal="centerContinuous" vertical="center" wrapText="1"/>
    </xf>
    <xf numFmtId="0" fontId="112" fillId="0" borderId="0" xfId="192" applyFont="1" applyAlignment="1">
      <alignment horizontal="center" vertical="center"/>
    </xf>
    <xf numFmtId="0" fontId="6" fillId="0" borderId="3" xfId="192" applyFont="1" applyBorder="1" applyAlignment="1">
      <alignment horizontal="left" vertical="center"/>
    </xf>
    <xf numFmtId="0" fontId="6" fillId="73" borderId="4" xfId="192" applyFont="1" applyFill="1" applyBorder="1" applyAlignment="1">
      <alignment horizontal="centerContinuous" vertical="center"/>
    </xf>
    <xf numFmtId="0" fontId="16" fillId="73" borderId="5" xfId="192" applyFont="1" applyFill="1" applyBorder="1" applyAlignment="1">
      <alignment horizontal="centerContinuous" vertical="center"/>
    </xf>
    <xf numFmtId="0" fontId="16" fillId="74" borderId="4" xfId="0" applyFont="1" applyFill="1" applyBorder="1" applyAlignment="1">
      <alignment horizontal="centerContinuous" vertical="center"/>
    </xf>
    <xf numFmtId="0" fontId="16" fillId="74" borderId="5" xfId="0" applyFont="1" applyFill="1" applyBorder="1" applyAlignment="1">
      <alignment horizontal="centerContinuous" vertical="center"/>
    </xf>
    <xf numFmtId="0" fontId="16" fillId="74" borderId="5" xfId="0" applyFont="1" applyFill="1" applyBorder="1" applyAlignment="1">
      <alignment horizontal="center" vertical="center"/>
    </xf>
    <xf numFmtId="0" fontId="6" fillId="0" borderId="1" xfId="192" applyFont="1" applyBorder="1" applyAlignment="1">
      <alignment horizontal="center" vertical="center"/>
    </xf>
    <xf numFmtId="4" fontId="6" fillId="75" borderId="1" xfId="0" applyNumberFormat="1" applyFont="1" applyFill="1" applyBorder="1" applyAlignment="1">
      <alignment horizontal="right" vertical="center"/>
    </xf>
    <xf numFmtId="164" fontId="114" fillId="0" borderId="2" xfId="2" applyNumberFormat="1" applyFont="1" applyBorder="1" applyAlignment="1">
      <alignment horizontal="center" vertical="center"/>
    </xf>
    <xf numFmtId="4" fontId="115" fillId="74" borderId="1" xfId="0" applyNumberFormat="1" applyFont="1" applyFill="1" applyBorder="1" applyAlignment="1">
      <alignment horizontal="center" vertical="center"/>
    </xf>
    <xf numFmtId="164" fontId="114" fillId="0" borderId="2" xfId="170" applyNumberFormat="1" applyFont="1" applyBorder="1" applyAlignment="1">
      <alignment horizontal="center" vertical="center"/>
    </xf>
    <xf numFmtId="0" fontId="16" fillId="74" borderId="2" xfId="0" applyFont="1" applyFill="1" applyBorder="1" applyAlignment="1">
      <alignment horizontal="center" vertical="center"/>
    </xf>
    <xf numFmtId="165" fontId="6" fillId="72" borderId="6" xfId="192" applyNumberFormat="1" applyFont="1" applyFill="1" applyBorder="1" applyAlignment="1">
      <alignment horizontal="right" vertical="center"/>
    </xf>
    <xf numFmtId="0" fontId="112" fillId="0" borderId="0" xfId="192" applyFont="1" applyAlignment="1">
      <alignment horizontal="left" vertical="center"/>
    </xf>
    <xf numFmtId="0" fontId="112" fillId="0" borderId="0" xfId="192" applyFont="1" applyAlignment="1">
      <alignment horizontal="right" vertical="center"/>
    </xf>
    <xf numFmtId="165" fontId="116" fillId="0" borderId="0" xfId="192" applyNumberFormat="1" applyFont="1" applyAlignment="1">
      <alignment horizontal="center" vertical="center"/>
    </xf>
    <xf numFmtId="0" fontId="6" fillId="0" borderId="7" xfId="192" applyFont="1" applyBorder="1" applyAlignment="1">
      <alignment horizontal="center" vertical="center"/>
    </xf>
    <xf numFmtId="4" fontId="11" fillId="73" borderId="7" xfId="192" applyNumberFormat="1" applyFont="1" applyFill="1" applyBorder="1" applyAlignment="1">
      <alignment horizontal="right" vertical="center"/>
    </xf>
    <xf numFmtId="164" fontId="114" fillId="76" borderId="8" xfId="2" applyNumberFormat="1" applyFont="1" applyFill="1" applyBorder="1" applyAlignment="1">
      <alignment horizontal="center" vertical="center"/>
    </xf>
    <xf numFmtId="4" fontId="117" fillId="74" borderId="7" xfId="0" applyNumberFormat="1" applyFont="1" applyFill="1" applyBorder="1" applyAlignment="1">
      <alignment horizontal="center" vertical="center"/>
    </xf>
    <xf numFmtId="164" fontId="114" fillId="0" borderId="8" xfId="170" applyNumberFormat="1" applyFont="1" applyBorder="1" applyAlignment="1">
      <alignment horizontal="center" vertical="center"/>
    </xf>
    <xf numFmtId="2" fontId="117" fillId="74" borderId="8" xfId="0" applyNumberFormat="1" applyFont="1" applyFill="1" applyBorder="1" applyAlignment="1">
      <alignment horizontal="center" vertical="center"/>
    </xf>
    <xf numFmtId="0" fontId="6" fillId="0" borderId="9" xfId="192" applyFont="1" applyBorder="1" applyAlignment="1">
      <alignment horizontal="center" vertical="center"/>
    </xf>
    <xf numFmtId="4" fontId="11" fillId="73" borderId="9" xfId="192" applyNumberFormat="1" applyFont="1" applyFill="1" applyBorder="1" applyAlignment="1">
      <alignment horizontal="right" vertical="center"/>
    </xf>
    <xf numFmtId="164" fontId="114" fillId="76" borderId="3" xfId="2" applyNumberFormat="1" applyFont="1" applyFill="1" applyBorder="1" applyAlignment="1">
      <alignment horizontal="center" vertical="center"/>
    </xf>
    <xf numFmtId="4" fontId="117" fillId="74" borderId="9" xfId="0" applyNumberFormat="1" applyFont="1" applyFill="1" applyBorder="1" applyAlignment="1">
      <alignment horizontal="center" vertical="center"/>
    </xf>
    <xf numFmtId="164" fontId="114" fillId="0" borderId="3" xfId="170" applyNumberFormat="1" applyFont="1" applyBorder="1" applyAlignment="1">
      <alignment horizontal="center" vertical="center"/>
    </xf>
    <xf numFmtId="2" fontId="117" fillId="74" borderId="3" xfId="0" applyNumberFormat="1" applyFont="1" applyFill="1" applyBorder="1" applyAlignment="1">
      <alignment horizontal="center" vertical="center"/>
    </xf>
    <xf numFmtId="0" fontId="11" fillId="0" borderId="0" xfId="192" applyFont="1" applyAlignment="1">
      <alignment horizontal="center" vertical="center"/>
    </xf>
    <xf numFmtId="164" fontId="112" fillId="0" borderId="0" xfId="192" applyNumberFormat="1" applyFont="1" applyAlignment="1">
      <alignment horizontal="center" vertical="center"/>
    </xf>
    <xf numFmtId="164" fontId="112" fillId="0" borderId="0" xfId="0" applyNumberFormat="1" applyFont="1" applyAlignment="1">
      <alignment horizontal="center" vertical="center"/>
    </xf>
    <xf numFmtId="0" fontId="13" fillId="0" borderId="0" xfId="192" applyFont="1" applyAlignment="1">
      <alignment horizontal="right" vertical="center"/>
    </xf>
    <xf numFmtId="4" fontId="11" fillId="76" borderId="0" xfId="192" applyNumberFormat="1" applyFont="1" applyFill="1" applyAlignment="1">
      <alignment horizontal="center" vertical="center"/>
    </xf>
    <xf numFmtId="0" fontId="112" fillId="76" borderId="0" xfId="192" applyFont="1" applyFill="1" applyAlignment="1">
      <alignment horizontal="left" vertical="center"/>
    </xf>
    <xf numFmtId="0" fontId="6" fillId="0" borderId="0" xfId="192" applyFont="1" applyAlignment="1">
      <alignment horizontal="center" vertical="center"/>
    </xf>
    <xf numFmtId="165" fontId="115" fillId="74" borderId="1" xfId="0" applyNumberFormat="1" applyFont="1" applyFill="1" applyBorder="1" applyAlignment="1">
      <alignment horizontal="center" vertical="center"/>
    </xf>
    <xf numFmtId="166" fontId="117" fillId="74" borderId="2" xfId="0" applyNumberFormat="1" applyFont="1" applyFill="1" applyBorder="1" applyAlignment="1">
      <alignment horizontal="center" vertical="center"/>
    </xf>
    <xf numFmtId="0" fontId="116" fillId="0" borderId="0" xfId="192" applyFont="1" applyAlignment="1">
      <alignment horizontal="center" vertical="center"/>
    </xf>
    <xf numFmtId="4" fontId="116" fillId="76" borderId="0" xfId="192" applyNumberFormat="1" applyFont="1" applyFill="1" applyAlignment="1">
      <alignment horizontal="center" vertical="center"/>
    </xf>
    <xf numFmtId="0" fontId="116" fillId="76" borderId="0" xfId="192" applyFont="1" applyFill="1" applyAlignment="1">
      <alignment horizontal="left" vertical="center"/>
    </xf>
    <xf numFmtId="0" fontId="118" fillId="77" borderId="56" xfId="0" applyFont="1" applyFill="1" applyBorder="1" applyAlignment="1">
      <alignment horizontal="center" vertical="center"/>
    </xf>
    <xf numFmtId="0" fontId="118" fillId="77" borderId="57" xfId="0" applyFont="1" applyFill="1" applyBorder="1" applyAlignment="1">
      <alignment horizontal="center" vertical="center"/>
    </xf>
    <xf numFmtId="0" fontId="118" fillId="77" borderId="13" xfId="0" applyFont="1" applyFill="1" applyBorder="1" applyAlignment="1">
      <alignment horizontal="center" vertical="center"/>
    </xf>
    <xf numFmtId="0" fontId="118" fillId="77" borderId="58" xfId="0" applyFont="1" applyFill="1" applyBorder="1" applyAlignment="1">
      <alignment horizontal="center" vertical="center"/>
    </xf>
    <xf numFmtId="0" fontId="119" fillId="77" borderId="59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4" fontId="117" fillId="0" borderId="17" xfId="0" applyNumberFormat="1" applyFont="1" applyBorder="1" applyAlignment="1">
      <alignment horizontal="center" vertical="center"/>
    </xf>
    <xf numFmtId="4" fontId="117" fillId="0" borderId="16" xfId="0" applyNumberFormat="1" applyFont="1" applyBorder="1" applyAlignment="1">
      <alignment horizontal="center" vertical="center"/>
    </xf>
    <xf numFmtId="172" fontId="120" fillId="0" borderId="0" xfId="0" applyNumberFormat="1" applyFont="1" applyAlignment="1">
      <alignment horizontal="left" vertical="center" indent="1"/>
    </xf>
    <xf numFmtId="0" fontId="16" fillId="0" borderId="18" xfId="0" applyFont="1" applyBorder="1" applyAlignment="1">
      <alignment horizontal="center" vertical="center"/>
    </xf>
    <xf numFmtId="4" fontId="117" fillId="0" borderId="10" xfId="0" applyNumberFormat="1" applyFont="1" applyBorder="1" applyAlignment="1">
      <alignment horizontal="center" vertical="center"/>
    </xf>
    <xf numFmtId="4" fontId="117" fillId="0" borderId="18" xfId="0" applyNumberFormat="1" applyFont="1" applyBorder="1" applyAlignment="1">
      <alignment horizontal="center" vertical="center"/>
    </xf>
    <xf numFmtId="4" fontId="120" fillId="0" borderId="0" xfId="0" applyNumberFormat="1" applyFont="1" applyAlignment="1">
      <alignment horizontal="left" vertical="center" indent="1"/>
    </xf>
    <xf numFmtId="0" fontId="120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21" fillId="0" borderId="0" xfId="0" applyFont="1" applyAlignment="1">
      <alignment horizontal="left" vertical="center" indent="1"/>
    </xf>
    <xf numFmtId="0" fontId="17" fillId="0" borderId="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2" fontId="121" fillId="0" borderId="0" xfId="0" applyNumberFormat="1" applyFont="1" applyAlignment="1">
      <alignment horizontal="left" vertical="center" indent="1"/>
    </xf>
    <xf numFmtId="0" fontId="113" fillId="74" borderId="7" xfId="192" applyFont="1" applyFill="1" applyBorder="1" applyAlignment="1">
      <alignment horizontal="right" vertical="center"/>
    </xf>
    <xf numFmtId="0" fontId="113" fillId="74" borderId="0" xfId="192" applyFont="1" applyFill="1" applyAlignment="1">
      <alignment horizontal="center" vertical="center"/>
    </xf>
    <xf numFmtId="0" fontId="113" fillId="74" borderId="16" xfId="192" applyFont="1" applyFill="1" applyBorder="1" applyAlignment="1">
      <alignment horizontal="center" vertical="center"/>
    </xf>
    <xf numFmtId="2" fontId="113" fillId="74" borderId="16" xfId="192" applyNumberFormat="1" applyFont="1" applyFill="1" applyBorder="1" applyAlignment="1">
      <alignment horizontal="center" vertical="center"/>
    </xf>
    <xf numFmtId="1" fontId="113" fillId="74" borderId="16" xfId="192" applyNumberFormat="1" applyFont="1" applyFill="1" applyBorder="1" applyAlignment="1">
      <alignment horizontal="center" vertical="center"/>
    </xf>
    <xf numFmtId="0" fontId="120" fillId="0" borderId="0" xfId="192" applyFont="1" applyAlignment="1">
      <alignment horizontal="left" vertical="center" indent="1"/>
    </xf>
    <xf numFmtId="0" fontId="113" fillId="74" borderId="4" xfId="192" applyFont="1" applyFill="1" applyBorder="1" applyAlignment="1">
      <alignment horizontal="center" vertical="center"/>
    </xf>
    <xf numFmtId="0" fontId="113" fillId="74" borderId="17" xfId="192" applyFont="1" applyFill="1" applyBorder="1" applyAlignment="1">
      <alignment horizontal="center" vertical="center"/>
    </xf>
    <xf numFmtId="0" fontId="108" fillId="0" borderId="19" xfId="0" applyFont="1" applyBorder="1" applyAlignment="1">
      <alignment horizontal="center" vertical="center"/>
    </xf>
    <xf numFmtId="0" fontId="122" fillId="0" borderId="7" xfId="192" applyFont="1" applyBorder="1" applyAlignment="1">
      <alignment horizontal="left" vertical="center" indent="1"/>
    </xf>
    <xf numFmtId="0" fontId="112" fillId="0" borderId="19" xfId="192" applyFont="1" applyBorder="1" applyAlignment="1">
      <alignment horizontal="center" vertical="center"/>
    </xf>
    <xf numFmtId="0" fontId="108" fillId="0" borderId="7" xfId="192" applyFont="1" applyBorder="1" applyAlignment="1">
      <alignment horizontal="left" vertical="center" indent="2"/>
    </xf>
    <xf numFmtId="0" fontId="108" fillId="0" borderId="0" xfId="192" applyFont="1" applyAlignment="1">
      <alignment horizontal="center" vertical="center"/>
    </xf>
    <xf numFmtId="2" fontId="123" fillId="0" borderId="19" xfId="0" applyNumberFormat="1" applyFont="1" applyBorder="1" applyAlignment="1">
      <alignment horizontal="center" vertical="center"/>
    </xf>
    <xf numFmtId="0" fontId="112" fillId="0" borderId="9" xfId="192" applyFont="1" applyBorder="1" applyAlignment="1">
      <alignment horizontal="left" vertical="center" indent="3"/>
    </xf>
    <xf numFmtId="0" fontId="112" fillId="0" borderId="10" xfId="192" applyFont="1" applyBorder="1" applyAlignment="1">
      <alignment horizontal="center" vertical="center"/>
    </xf>
    <xf numFmtId="0" fontId="112" fillId="0" borderId="18" xfId="192" applyFont="1" applyBorder="1" applyAlignment="1">
      <alignment horizontal="center" vertical="center"/>
    </xf>
    <xf numFmtId="0" fontId="113" fillId="74" borderId="4" xfId="192" applyFont="1" applyFill="1" applyBorder="1" applyAlignment="1">
      <alignment horizontal="left" vertical="center"/>
    </xf>
    <xf numFmtId="2" fontId="108" fillId="0" borderId="19" xfId="0" applyNumberFormat="1" applyFont="1" applyBorder="1" applyAlignment="1">
      <alignment horizontal="center" vertical="center"/>
    </xf>
    <xf numFmtId="0" fontId="108" fillId="0" borderId="7" xfId="0" applyFont="1" applyBorder="1" applyAlignment="1">
      <alignment horizontal="left" vertical="center" indent="2"/>
    </xf>
    <xf numFmtId="0" fontId="113" fillId="74" borderId="7" xfId="192" applyFont="1" applyFill="1" applyBorder="1" applyAlignment="1">
      <alignment horizontal="left" vertical="center"/>
    </xf>
    <xf numFmtId="0" fontId="113" fillId="74" borderId="19" xfId="192" applyFont="1" applyFill="1" applyBorder="1" applyAlignment="1">
      <alignment horizontal="center" vertical="center"/>
    </xf>
    <xf numFmtId="2" fontId="108" fillId="0" borderId="19" xfId="192" applyNumberFormat="1" applyFont="1" applyBorder="1" applyAlignment="1">
      <alignment horizontal="center" vertical="center"/>
    </xf>
    <xf numFmtId="0" fontId="112" fillId="0" borderId="7" xfId="192" applyFont="1" applyBorder="1" applyAlignment="1">
      <alignment horizontal="center" vertical="center"/>
    </xf>
    <xf numFmtId="1" fontId="112" fillId="0" borderId="19" xfId="192" applyNumberFormat="1" applyFont="1" applyBorder="1" applyAlignment="1">
      <alignment horizontal="center" vertical="center"/>
    </xf>
    <xf numFmtId="0" fontId="39" fillId="0" borderId="7" xfId="192" applyFont="1" applyBorder="1" applyAlignment="1">
      <alignment horizontal="left" vertical="center" indent="2"/>
    </xf>
    <xf numFmtId="0" fontId="113" fillId="74" borderId="4" xfId="192" applyFont="1" applyFill="1" applyBorder="1" applyAlignment="1">
      <alignment horizontal="right" vertical="center"/>
    </xf>
    <xf numFmtId="2" fontId="123" fillId="78" borderId="19" xfId="0" applyNumberFormat="1" applyFont="1" applyFill="1" applyBorder="1" applyAlignment="1">
      <alignment horizontal="center" vertical="center"/>
    </xf>
    <xf numFmtId="0" fontId="124" fillId="0" borderId="7" xfId="192" applyFont="1" applyBorder="1" applyAlignment="1">
      <alignment horizontal="left" vertical="center" indent="1"/>
    </xf>
    <xf numFmtId="0" fontId="112" fillId="0" borderId="7" xfId="192" applyFont="1" applyBorder="1" applyAlignment="1">
      <alignment horizontal="left" vertical="center" indent="3"/>
    </xf>
    <xf numFmtId="0" fontId="112" fillId="0" borderId="9" xfId="192" applyFont="1" applyBorder="1" applyAlignment="1">
      <alignment horizontal="center" vertical="center"/>
    </xf>
    <xf numFmtId="1" fontId="112" fillId="0" borderId="18" xfId="192" applyNumberFormat="1" applyFont="1" applyBorder="1" applyAlignment="1">
      <alignment horizontal="center" vertical="center"/>
    </xf>
    <xf numFmtId="1" fontId="113" fillId="74" borderId="19" xfId="192" applyNumberFormat="1" applyFont="1" applyFill="1" applyBorder="1" applyAlignment="1">
      <alignment horizontal="center" vertical="center"/>
    </xf>
    <xf numFmtId="0" fontId="123" fillId="0" borderId="19" xfId="0" applyFont="1" applyBorder="1"/>
    <xf numFmtId="2" fontId="125" fillId="0" borderId="19" xfId="189" applyNumberFormat="1" applyFont="1" applyBorder="1" applyAlignment="1">
      <alignment horizontal="center" vertical="center"/>
    </xf>
    <xf numFmtId="0" fontId="122" fillId="0" borderId="7" xfId="0" applyFont="1" applyBorder="1" applyAlignment="1">
      <alignment horizontal="left" vertical="center" indent="1"/>
    </xf>
    <xf numFmtId="0" fontId="112" fillId="0" borderId="7" xfId="0" applyFont="1" applyBorder="1" applyAlignment="1">
      <alignment horizontal="center" vertical="center"/>
    </xf>
    <xf numFmtId="0" fontId="108" fillId="0" borderId="19" xfId="192" quotePrefix="1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108" fillId="0" borderId="7" xfId="0" applyFont="1" applyBorder="1" applyAlignment="1">
      <alignment horizontal="left" vertical="center" indent="1"/>
    </xf>
    <xf numFmtId="0" fontId="39" fillId="0" borderId="19" xfId="192" quotePrefix="1" applyFont="1" applyBorder="1" applyAlignment="1">
      <alignment horizontal="center" vertical="center"/>
    </xf>
    <xf numFmtId="1" fontId="39" fillId="0" borderId="19" xfId="192" applyNumberFormat="1" applyFont="1" applyBorder="1" applyAlignment="1">
      <alignment horizontal="center" vertical="center"/>
    </xf>
    <xf numFmtId="2" fontId="126" fillId="0" borderId="19" xfId="189" applyNumberFormat="1" applyFont="1" applyBorder="1" applyAlignment="1">
      <alignment horizontal="center" vertical="center"/>
    </xf>
    <xf numFmtId="0" fontId="109" fillId="0" borderId="19" xfId="0" applyFont="1" applyBorder="1" applyAlignment="1">
      <alignment horizontal="center"/>
    </xf>
    <xf numFmtId="2" fontId="109" fillId="0" borderId="19" xfId="0" applyNumberFormat="1" applyFont="1" applyBorder="1" applyAlignment="1">
      <alignment horizontal="center"/>
    </xf>
    <xf numFmtId="1" fontId="127" fillId="0" borderId="19" xfId="192" applyNumberFormat="1" applyFont="1" applyBorder="1" applyAlignment="1">
      <alignment horizontal="center" vertical="center"/>
    </xf>
    <xf numFmtId="2" fontId="112" fillId="0" borderId="0" xfId="0" applyNumberFormat="1" applyFont="1" applyAlignment="1">
      <alignment horizontal="center" vertical="center"/>
    </xf>
    <xf numFmtId="2" fontId="39" fillId="0" borderId="19" xfId="0" applyNumberFormat="1" applyFont="1" applyBorder="1" applyAlignment="1">
      <alignment horizontal="center" vertical="center"/>
    </xf>
    <xf numFmtId="0" fontId="128" fillId="0" borderId="19" xfId="0" applyFont="1" applyBorder="1" applyAlignment="1">
      <alignment horizontal="center" vertical="center"/>
    </xf>
    <xf numFmtId="0" fontId="129" fillId="0" borderId="19" xfId="0" applyFont="1" applyBorder="1" applyAlignment="1">
      <alignment horizontal="center"/>
    </xf>
    <xf numFmtId="0" fontId="112" fillId="0" borderId="7" xfId="192" applyFont="1" applyBorder="1" applyAlignment="1">
      <alignment horizontal="left" vertical="center" indent="2"/>
    </xf>
    <xf numFmtId="0" fontId="112" fillId="0" borderId="9" xfId="192" applyFont="1" applyBorder="1" applyAlignment="1">
      <alignment horizontal="left" vertical="center" indent="2"/>
    </xf>
    <xf numFmtId="2" fontId="108" fillId="0" borderId="19" xfId="191" applyNumberFormat="1" applyFont="1" applyBorder="1" applyAlignment="1">
      <alignment horizontal="center" vertical="center"/>
    </xf>
    <xf numFmtId="0" fontId="39" fillId="0" borderId="19" xfId="191" applyFont="1" applyBorder="1" applyAlignment="1">
      <alignment horizontal="center" vertical="center"/>
    </xf>
    <xf numFmtId="0" fontId="109" fillId="0" borderId="19" xfId="191" applyFont="1" applyBorder="1" applyAlignment="1">
      <alignment horizontal="center"/>
    </xf>
    <xf numFmtId="2" fontId="39" fillId="0" borderId="19" xfId="191" applyNumberFormat="1" applyFont="1" applyBorder="1" applyAlignment="1">
      <alignment horizontal="center" vertical="center"/>
    </xf>
    <xf numFmtId="0" fontId="128" fillId="0" borderId="19" xfId="191" applyFont="1" applyBorder="1" applyAlignment="1">
      <alignment horizontal="center" vertical="center"/>
    </xf>
    <xf numFmtId="0" fontId="129" fillId="0" borderId="19" xfId="191" applyFont="1" applyBorder="1" applyAlignment="1">
      <alignment horizontal="center"/>
    </xf>
    <xf numFmtId="2" fontId="95" fillId="4" borderId="16" xfId="8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30" fillId="0" borderId="60" xfId="0" applyFont="1" applyBorder="1" applyAlignment="1">
      <alignment horizontal="center" vertical="center"/>
    </xf>
    <xf numFmtId="4" fontId="30" fillId="5" borderId="61" xfId="0" applyNumberFormat="1" applyFont="1" applyFill="1" applyBorder="1" applyAlignment="1">
      <alignment horizontal="right" vertical="center"/>
    </xf>
    <xf numFmtId="10" fontId="4" fillId="0" borderId="0" xfId="2" applyNumberFormat="1" applyFont="1" applyAlignment="1">
      <alignment horizontal="center" vertical="center"/>
    </xf>
    <xf numFmtId="167" fontId="4" fillId="0" borderId="0" xfId="113" applyFont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center" vertical="center"/>
    </xf>
    <xf numFmtId="0" fontId="131" fillId="0" borderId="60" xfId="0" applyFont="1" applyBorder="1" applyAlignment="1">
      <alignment horizontal="right" vertical="center"/>
    </xf>
    <xf numFmtId="4" fontId="131" fillId="79" borderId="62" xfId="0" applyNumberFormat="1" applyFont="1" applyFill="1" applyBorder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9" fontId="4" fillId="0" borderId="0" xfId="12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2" fontId="21" fillId="80" borderId="19" xfId="0" applyNumberFormat="1" applyFont="1" applyFill="1" applyBorder="1" applyAlignment="1">
      <alignment horizontal="center" vertical="center"/>
    </xf>
    <xf numFmtId="0" fontId="21" fillId="80" borderId="19" xfId="0" applyFont="1" applyFill="1" applyBorder="1" applyAlignment="1">
      <alignment horizontal="center" vertical="center"/>
    </xf>
    <xf numFmtId="0" fontId="11" fillId="80" borderId="19" xfId="0" applyFont="1" applyFill="1" applyBorder="1" applyAlignment="1">
      <alignment horizontal="center" vertical="center"/>
    </xf>
    <xf numFmtId="2" fontId="4" fillId="15" borderId="8" xfId="0" applyNumberFormat="1" applyFont="1" applyFill="1" applyBorder="1" applyAlignment="1">
      <alignment horizontal="center" vertical="center"/>
    </xf>
    <xf numFmtId="49" fontId="106" fillId="0" borderId="55" xfId="191" applyNumberFormat="1" applyFont="1" applyBorder="1" applyAlignment="1">
      <alignment vertical="center"/>
    </xf>
    <xf numFmtId="0" fontId="11" fillId="3" borderId="19" xfId="0" applyFont="1" applyFill="1" applyBorder="1" applyAlignment="1">
      <alignment horizontal="center" vertical="center"/>
    </xf>
    <xf numFmtId="0" fontId="4" fillId="80" borderId="19" xfId="0" applyFont="1" applyFill="1" applyBorder="1" applyAlignment="1">
      <alignment horizontal="center" vertical="center"/>
    </xf>
    <xf numFmtId="2" fontId="4" fillId="15" borderId="19" xfId="0" applyNumberFormat="1" applyFont="1" applyFill="1" applyBorder="1" applyAlignment="1">
      <alignment horizontal="center" vertical="center"/>
    </xf>
    <xf numFmtId="0" fontId="100" fillId="80" borderId="19" xfId="0" applyFont="1" applyFill="1" applyBorder="1" applyAlignment="1">
      <alignment horizontal="center"/>
    </xf>
    <xf numFmtId="2" fontId="11" fillId="80" borderId="19" xfId="0" applyNumberFormat="1" applyFont="1" applyFill="1" applyBorder="1" applyAlignment="1">
      <alignment horizontal="center" vertical="center"/>
    </xf>
    <xf numFmtId="10" fontId="112" fillId="0" borderId="0" xfId="2" applyNumberFormat="1" applyFont="1" applyAlignment="1">
      <alignment horizontal="center" vertical="center"/>
    </xf>
    <xf numFmtId="10" fontId="100" fillId="0" borderId="0" xfId="194" applyNumberFormat="1" applyFont="1"/>
    <xf numFmtId="0" fontId="108" fillId="80" borderId="19" xfId="0" applyFont="1" applyFill="1" applyBorder="1" applyAlignment="1">
      <alignment horizontal="center" vertical="center"/>
    </xf>
    <xf numFmtId="0" fontId="107" fillId="0" borderId="0" xfId="191" applyFont="1" applyAlignment="1">
      <alignment horizontal="left" vertical="center" wrapText="1"/>
    </xf>
    <xf numFmtId="2" fontId="108" fillId="3" borderId="19" xfId="0" applyNumberFormat="1" applyFont="1" applyFill="1" applyBorder="1" applyAlignment="1">
      <alignment horizontal="center" vertical="center"/>
    </xf>
    <xf numFmtId="0" fontId="39" fillId="80" borderId="19" xfId="0" applyFont="1" applyFill="1" applyBorder="1" applyAlignment="1">
      <alignment horizontal="center" vertical="center"/>
    </xf>
    <xf numFmtId="2" fontId="39" fillId="80" borderId="19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left" vertical="center"/>
    </xf>
    <xf numFmtId="0" fontId="108" fillId="80" borderId="19" xfId="191" applyFont="1" applyFill="1" applyBorder="1" applyAlignment="1">
      <alignment horizontal="center" vertical="center"/>
    </xf>
    <xf numFmtId="0" fontId="39" fillId="80" borderId="19" xfId="191" applyFont="1" applyFill="1" applyBorder="1" applyAlignment="1">
      <alignment horizontal="center" vertical="center"/>
    </xf>
    <xf numFmtId="2" fontId="39" fillId="3" borderId="19" xfId="191" applyNumberFormat="1" applyFont="1" applyFill="1" applyBorder="1" applyAlignment="1">
      <alignment horizontal="center" vertical="center"/>
    </xf>
    <xf numFmtId="0" fontId="108" fillId="3" borderId="19" xfId="191" applyFont="1" applyFill="1" applyBorder="1" applyAlignment="1">
      <alignment horizontal="center" vertical="center"/>
    </xf>
    <xf numFmtId="0" fontId="129" fillId="80" borderId="19" xfId="191" applyFont="1" applyFill="1" applyBorder="1" applyAlignment="1">
      <alignment horizontal="center"/>
    </xf>
    <xf numFmtId="2" fontId="39" fillId="80" borderId="19" xfId="191" applyNumberFormat="1" applyFont="1" applyFill="1" applyBorder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0" fontId="39" fillId="15" borderId="19" xfId="191" applyFont="1" applyFill="1" applyBorder="1" applyAlignment="1">
      <alignment horizontal="center" vertical="center"/>
    </xf>
    <xf numFmtId="2" fontId="39" fillId="15" borderId="19" xfId="191" applyNumberFormat="1" applyFont="1" applyFill="1" applyBorder="1" applyAlignment="1">
      <alignment horizontal="center" vertical="center"/>
    </xf>
    <xf numFmtId="0" fontId="111" fillId="0" borderId="55" xfId="0" applyFont="1" applyBorder="1" applyAlignment="1">
      <alignment horizontal="left" vertical="center" wrapText="1"/>
    </xf>
    <xf numFmtId="0" fontId="111" fillId="0" borderId="0" xfId="0" applyFont="1" applyAlignment="1">
      <alignment horizontal="left" vertical="center" wrapText="1"/>
    </xf>
    <xf numFmtId="0" fontId="15" fillId="0" borderId="10" xfId="0" applyFont="1" applyBorder="1" applyAlignment="1">
      <alignment horizontal="center" vertical="center"/>
    </xf>
    <xf numFmtId="0" fontId="111" fillId="0" borderId="55" xfId="193" applyFont="1" applyBorder="1" applyAlignment="1">
      <alignment horizontal="left" vertical="center"/>
    </xf>
    <xf numFmtId="0" fontId="111" fillId="0" borderId="0" xfId="193" applyFont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0" fontId="111" fillId="0" borderId="55" xfId="193" applyFont="1" applyBorder="1" applyAlignment="1">
      <alignment horizontal="left" vertical="center" wrapText="1"/>
    </xf>
    <xf numFmtId="0" fontId="111" fillId="0" borderId="0" xfId="193" applyFont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0" fontId="31" fillId="0" borderId="23" xfId="0" applyFont="1" applyBorder="1" applyAlignment="1">
      <alignment horizontal="left"/>
    </xf>
  </cellXfs>
  <cellStyles count="195">
    <cellStyle name="20% - Énfasis1" xfId="29" builtinId="30" customBuiltin="1"/>
    <cellStyle name="20% - Énfasis1 2" xfId="46" xr:uid="{F2487A9B-15E6-440F-A5AC-66EFE815CEE6}"/>
    <cellStyle name="20% - Énfasis1 3" xfId="47" xr:uid="{069A1678-8908-4810-B5B3-0AA5FB0CD1D8}"/>
    <cellStyle name="20% - Énfasis2" xfId="32" builtinId="34" customBuiltin="1"/>
    <cellStyle name="20% - Énfasis2 2" xfId="48" xr:uid="{43BC370D-BFAB-4503-8958-E28C02582DF8}"/>
    <cellStyle name="20% - Énfasis2 3" xfId="49" xr:uid="{F155B97A-F0C4-4104-98EB-30DF2DA18727}"/>
    <cellStyle name="20% - Énfasis3" xfId="35" builtinId="38" customBuiltin="1"/>
    <cellStyle name="20% - Énfasis3 2" xfId="50" xr:uid="{837A84E9-8993-45FD-9CA5-87F5E0FF5A90}"/>
    <cellStyle name="20% - Énfasis3 3" xfId="51" xr:uid="{67B248F0-C53B-4E36-BD65-C97F027B66F8}"/>
    <cellStyle name="20% - Énfasis4" xfId="38" builtinId="42" customBuiltin="1"/>
    <cellStyle name="20% - Énfasis4 2" xfId="52" xr:uid="{5E66AC59-118E-4227-9EAE-A0382EC5B589}"/>
    <cellStyle name="20% - Énfasis4 3" xfId="53" xr:uid="{7C59EFA2-223D-4DAB-92E5-72B78C119485}"/>
    <cellStyle name="20% - Énfasis5" xfId="41" builtinId="46" customBuiltin="1"/>
    <cellStyle name="20% - Énfasis5 2" xfId="54" xr:uid="{86D85FB4-D555-4EEE-8334-8B52A849AAC9}"/>
    <cellStyle name="20% - Énfasis5 3" xfId="55" xr:uid="{854B6613-388B-4A35-8FAD-548B6FEE02EE}"/>
    <cellStyle name="20% - Énfasis6" xfId="44" builtinId="50" customBuiltin="1"/>
    <cellStyle name="20% - Énfasis6 2" xfId="56" xr:uid="{8E343FFF-8519-494D-A168-96A6167A02EE}"/>
    <cellStyle name="20% - Énfasis6 3" xfId="57" xr:uid="{59158D2E-0140-4C74-BD04-8BCB399026A9}"/>
    <cellStyle name="40% - Énfasis1" xfId="30" builtinId="31" customBuiltin="1"/>
    <cellStyle name="40% - Énfasis1 2" xfId="58" xr:uid="{8BC16103-3D2D-4D65-98DC-63637AD55613}"/>
    <cellStyle name="40% - Énfasis1 3" xfId="59" xr:uid="{04CB2C92-A197-4C2F-BE83-D30AC9EA69C2}"/>
    <cellStyle name="40% - Énfasis2" xfId="33" builtinId="35" customBuiltin="1"/>
    <cellStyle name="40% - Énfasis2 2" xfId="60" xr:uid="{06044EAB-D43E-4211-BE67-0DA9D57ED7A8}"/>
    <cellStyle name="40% - Énfasis2 3" xfId="61" xr:uid="{60A5C6BF-F424-41FB-A901-A1C85BFA6268}"/>
    <cellStyle name="40% - Énfasis3" xfId="36" builtinId="39" customBuiltin="1"/>
    <cellStyle name="40% - Énfasis3 2" xfId="62" xr:uid="{6350A017-ECC1-446F-A6F6-2F11C2496C60}"/>
    <cellStyle name="40% - Énfasis3 3" xfId="63" xr:uid="{2B3EFFB3-ADEB-4D2F-ACC1-3A4DE5FD037B}"/>
    <cellStyle name="40% - Énfasis4" xfId="39" builtinId="43" customBuiltin="1"/>
    <cellStyle name="40% - Énfasis4 2" xfId="64" xr:uid="{3D23E170-1399-4375-A8C6-061178CA1195}"/>
    <cellStyle name="40% - Énfasis4 3" xfId="65" xr:uid="{D3AC622C-2EE4-4143-8CAE-B0EE3442E154}"/>
    <cellStyle name="40% - Énfasis5" xfId="42" builtinId="47" customBuiltin="1"/>
    <cellStyle name="40% - Énfasis5 2" xfId="66" xr:uid="{6CEF7CB7-B874-4EFB-8AF5-481424159D17}"/>
    <cellStyle name="40% - Énfasis5 3" xfId="67" xr:uid="{308E596B-8F16-4290-A53C-79046D8E9EB2}"/>
    <cellStyle name="40% - Énfasis6" xfId="45" builtinId="51" customBuiltin="1"/>
    <cellStyle name="40% - Énfasis6 2" xfId="68" xr:uid="{1FCAE168-FBC4-4305-A0F2-20FCA7BD7841}"/>
    <cellStyle name="40% - Énfasis6 3" xfId="69" xr:uid="{BA48E029-47F3-406D-AD4C-16F378DC4890}"/>
    <cellStyle name="60% - Énfasis1 2" xfId="71" xr:uid="{113D6F42-5A55-4CAD-9CB9-6CFE0AD3B6DE}"/>
    <cellStyle name="60% - Énfasis1 3" xfId="70" xr:uid="{505AB1F1-DE02-44BD-9BD2-002A6A527506}"/>
    <cellStyle name="60% - Énfasis2 2" xfId="73" xr:uid="{08CF06BF-03D9-4C0D-BE31-CC012F67A275}"/>
    <cellStyle name="60% - Énfasis2 3" xfId="72" xr:uid="{819B597A-A921-4044-88B3-EAA3C898FE21}"/>
    <cellStyle name="60% - Énfasis3 2" xfId="75" xr:uid="{45F97D99-F1AE-45B7-AD93-EB86BAF08548}"/>
    <cellStyle name="60% - Énfasis3 3" xfId="74" xr:uid="{6EDBE18C-81A9-46EC-8330-B79ADD3331CF}"/>
    <cellStyle name="60% - Énfasis4 2" xfId="77" xr:uid="{B6D46BE7-F683-45C7-8EC9-3659B43EAC8F}"/>
    <cellStyle name="60% - Énfasis4 3" xfId="76" xr:uid="{99263A58-394F-4D30-8E33-02DF03FD3819}"/>
    <cellStyle name="60% - Énfasis5 2" xfId="79" xr:uid="{498F4D09-022F-40E8-A510-A900ABFE9ED6}"/>
    <cellStyle name="60% - Énfasis5 3" xfId="78" xr:uid="{24AA8900-543B-4F20-86CE-23672F5047F2}"/>
    <cellStyle name="60% - Énfasis6 2" xfId="81" xr:uid="{A5171938-7475-419F-8894-B5E9A48476CD}"/>
    <cellStyle name="60% - Énfasis6 3" xfId="80" xr:uid="{48225CC5-9EC5-4C47-9A48-13D87FB67461}"/>
    <cellStyle name="Bueno" xfId="17" builtinId="26" customBuiltin="1"/>
    <cellStyle name="Bueno 2" xfId="82" xr:uid="{B23437FD-6A7C-4B4C-AA26-684F35FFCDF7}"/>
    <cellStyle name="Cálculo" xfId="21" builtinId="22" customBuiltin="1"/>
    <cellStyle name="Cálculo 2" xfId="83" xr:uid="{9A50664F-BE06-4370-BAEE-A170C5D277DD}"/>
    <cellStyle name="Celda de comprobación" xfId="23" builtinId="23" customBuiltin="1"/>
    <cellStyle name="Celda de comprobación 2" xfId="84" xr:uid="{93F6A170-4A54-4007-B512-462374737669}"/>
    <cellStyle name="Celda vinculada" xfId="22" builtinId="24" customBuiltin="1"/>
    <cellStyle name="Celda vinculada 2" xfId="85" xr:uid="{E4B89DFC-B69B-4655-A1FA-A47A569D9809}"/>
    <cellStyle name="Comma 2" xfId="86" xr:uid="{4E671F50-B240-4232-8569-58E8A92D07EF}"/>
    <cellStyle name="Comma 2 2" xfId="87" xr:uid="{24999AA1-1201-4367-86B9-30814685A7E3}"/>
    <cellStyle name="Comma 2 2 2" xfId="88" xr:uid="{0A4C2977-1ABE-44A5-A441-CF878BC7FF9D}"/>
    <cellStyle name="Comma 2 3" xfId="89" xr:uid="{DE08798F-355F-4ED9-94BA-303D0E8A5661}"/>
    <cellStyle name="Comma 3" xfId="3" xr:uid="{00000000-0005-0000-0000-000000000000}"/>
    <cellStyle name="Encabezado 1" xfId="13" builtinId="16" customBuiltin="1"/>
    <cellStyle name="Encabezado 1 2" xfId="90" xr:uid="{1D44CDA1-5E4F-49F0-A661-CC871FBCB158}"/>
    <cellStyle name="Encabezado 4" xfId="16" builtinId="19" customBuiltin="1"/>
    <cellStyle name="Encabezado 4 2" xfId="91" xr:uid="{AC4EB9EC-C184-4559-B45B-47221D6AA669}"/>
    <cellStyle name="Énfasis1" xfId="28" builtinId="29" customBuiltin="1"/>
    <cellStyle name="Énfasis1 2" xfId="92" xr:uid="{3A6D53EB-9601-4B0D-A7E3-4D1B191F4910}"/>
    <cellStyle name="Énfasis1 2 2" xfId="93" xr:uid="{814569F3-AD2D-4194-A743-073A5B8954A8}"/>
    <cellStyle name="Énfasis1 3" xfId="94" xr:uid="{FDB575A1-C646-4FDD-957C-32D33665AE77}"/>
    <cellStyle name="Énfasis2" xfId="31" builtinId="33" customBuiltin="1"/>
    <cellStyle name="Énfasis2 2" xfId="95" xr:uid="{4CEF3D2F-0C34-4FB3-8794-F1A55C51AD4A}"/>
    <cellStyle name="Énfasis3" xfId="34" builtinId="37" customBuiltin="1"/>
    <cellStyle name="Énfasis3 2" xfId="96" xr:uid="{E131CF62-4790-4226-815B-C80AEAD78081}"/>
    <cellStyle name="Énfasis4" xfId="37" builtinId="41" customBuiltin="1"/>
    <cellStyle name="Énfasis4 2" xfId="97" xr:uid="{F3AD25FB-2534-4E63-A4E9-29F0552BB9FB}"/>
    <cellStyle name="Énfasis5" xfId="40" builtinId="45" customBuiltin="1"/>
    <cellStyle name="Énfasis5 2" xfId="98" xr:uid="{F2050898-BC55-459A-B2AD-CBCA39CFD5D4}"/>
    <cellStyle name="Énfasis6" xfId="43" builtinId="49" customBuiltin="1"/>
    <cellStyle name="Énfasis6 2" xfId="99" xr:uid="{2C031E97-F73D-4515-8540-6DE0ADE1B7BF}"/>
    <cellStyle name="Entrada" xfId="19" builtinId="20" customBuiltin="1"/>
    <cellStyle name="Entrada 2" xfId="100" xr:uid="{74C64230-7E8B-4950-B09D-ECEFEA28A5E8}"/>
    <cellStyle name="Euro" xfId="101" xr:uid="{9BFABDEF-5266-43A4-AAB3-F3B4D43FC7A4}"/>
    <cellStyle name="F2" xfId="102" xr:uid="{EF0D5B81-A49A-4CCE-958D-72FA5B84A07A}"/>
    <cellStyle name="F3" xfId="103" xr:uid="{C716F3B9-8AFC-4953-B534-6327D622D520}"/>
    <cellStyle name="F4" xfId="104" xr:uid="{8EFF72EB-2F0A-413E-A8B0-0D4AECCB22A3}"/>
    <cellStyle name="F5" xfId="105" xr:uid="{80AC920D-BD22-4633-AD6E-471C499FD2EE}"/>
    <cellStyle name="F6" xfId="106" xr:uid="{059FF31F-EB9E-4159-8735-E20289A2294D}"/>
    <cellStyle name="F7" xfId="107" xr:uid="{62386D24-F960-4594-90F8-66BEF8D4F010}"/>
    <cellStyle name="F8" xfId="108" xr:uid="{951B9EFE-3CBB-442E-9506-3F9E5AA77746}"/>
    <cellStyle name="Hipervínculo 2" xfId="109" xr:uid="{705AE84C-FC98-413F-88E4-F8E234B20A98}"/>
    <cellStyle name="Incorrecto" xfId="18" builtinId="27" customBuiltin="1"/>
    <cellStyle name="Incorrecto 2" xfId="110" xr:uid="{11B8CECD-755B-4E15-8DD2-06D687E02A02}"/>
    <cellStyle name="Millares 10" xfId="111" xr:uid="{1103C25B-B482-4179-B40A-705F0D35D629}"/>
    <cellStyle name="Millares 10 2" xfId="112" xr:uid="{300716D7-2932-400A-9372-867EB0405A3F}"/>
    <cellStyle name="Millares 11" xfId="113" xr:uid="{EEEFB09A-5CE6-4119-9F97-819A322E33D4}"/>
    <cellStyle name="Millares 2" xfId="11" xr:uid="{FC3C99BD-D7B6-4BE5-B549-F256794B7AC3}"/>
    <cellStyle name="Millares 2 2" xfId="115" xr:uid="{CF5BD802-999F-44FD-8E47-5B9591067047}"/>
    <cellStyle name="Millares 2 3" xfId="116" xr:uid="{15929D88-4F41-485C-A220-D89762030A5E}"/>
    <cellStyle name="Millares 2 4" xfId="117" xr:uid="{66C1004B-CC7C-4BC1-A711-5CEF845018CA}"/>
    <cellStyle name="Millares 2 5" xfId="114" xr:uid="{E2D3AE24-159C-4471-ADC8-4E9A70DCD22F}"/>
    <cellStyle name="Millares 2 6" xfId="9" xr:uid="{3F6BF3FC-FDAE-49E1-B727-D66D07645B60}"/>
    <cellStyle name="Millares 3" xfId="118" xr:uid="{B8360180-2781-4315-A806-1F9D1F3B3D36}"/>
    <cellStyle name="Millares 3 2" xfId="119" xr:uid="{517ECD09-A09F-4161-A6F8-609C0441D115}"/>
    <cellStyle name="Millares 3 3" xfId="120" xr:uid="{8041430D-38B8-4F34-AC08-E7297C9117C1}"/>
    <cellStyle name="Millares 3 3 2" xfId="121" xr:uid="{405A743D-9AD8-4625-8762-6AB5DEFCFBE1}"/>
    <cellStyle name="Millares 3 4" xfId="122" xr:uid="{4237A8B6-C736-4E48-9355-CAAB4676F171}"/>
    <cellStyle name="Millares 4" xfId="123" xr:uid="{C80CCCC4-0812-4607-BEBA-CB7893544B22}"/>
    <cellStyle name="Millares 4 2" xfId="124" xr:uid="{E0A83073-7326-4B02-8B52-E18C6DC30513}"/>
    <cellStyle name="Millares 4 2 2" xfId="125" xr:uid="{96494492-7597-451A-A81D-4A688714E307}"/>
    <cellStyle name="Millares 4 3" xfId="126" xr:uid="{84851BE8-937F-4116-9D57-2568F001293A}"/>
    <cellStyle name="Millares 5" xfId="127" xr:uid="{388C62E0-5010-4A9B-A9B5-AFB329AEB9E5}"/>
    <cellStyle name="Millares 5 2" xfId="128" xr:uid="{A0017C95-C93B-4988-B1BC-DEAD8CD55FDE}"/>
    <cellStyle name="Millares 5 2 2" xfId="129" xr:uid="{FCCFFA39-0E97-4287-B6A8-39E5FDBA8B17}"/>
    <cellStyle name="Millares 5 3" xfId="130" xr:uid="{71E5F9E0-BF7E-444E-803D-FE5F18D6943A}"/>
    <cellStyle name="Millares 6" xfId="131" xr:uid="{F8678485-34EB-4DD2-AB43-DE36ECECEF85}"/>
    <cellStyle name="Millares 7" xfId="132" xr:uid="{54F465C0-99AE-49DF-BED5-BFE57BF89AF4}"/>
    <cellStyle name="Millares 8" xfId="133" xr:uid="{1D2B4878-424F-4CF1-9463-F7B3D71F3146}"/>
    <cellStyle name="Millares 9" xfId="134" xr:uid="{944B0C56-082A-439C-A43E-C113CF0DBB2C}"/>
    <cellStyle name="Millares 9 2" xfId="135" xr:uid="{64C068D2-D5F6-4035-A3BB-FEAF58A05C0C}"/>
    <cellStyle name="Millares 9 2 2" xfId="136" xr:uid="{0916928B-C341-47F8-BD30-837632575115}"/>
    <cellStyle name="Millares 9 3" xfId="137" xr:uid="{69F37FA7-E9F1-43A2-8155-8A8FE1F95CDE}"/>
    <cellStyle name="Neutral 2" xfId="139" xr:uid="{3CD88EB6-49BE-4D44-8A3D-18897F7A3D0D}"/>
    <cellStyle name="Neutral 3" xfId="138" xr:uid="{A1917326-AF5E-4D21-B81D-61751C39A750}"/>
    <cellStyle name="Normal" xfId="0" builtinId="0"/>
    <cellStyle name="Normal 10" xfId="140" xr:uid="{FE685BF9-3E67-4856-BE5D-FAE4ED18BABF}"/>
    <cellStyle name="Normal 10 2" xfId="191" xr:uid="{18593C0E-CD92-443F-B1F7-C9C7C2753E14}"/>
    <cellStyle name="Normal 10 3" xfId="193" xr:uid="{91F868AE-B50B-4D6F-A39E-AF15AF5F819C}"/>
    <cellStyle name="Normal 11" xfId="6" xr:uid="{0BABB092-B46E-4D51-8BC9-656A6F4EF251}"/>
    <cellStyle name="Normal 12" xfId="141" xr:uid="{BCE8CB86-9439-4A6F-A8DF-2A8EF65771D4}"/>
    <cellStyle name="Normal 13" xfId="142" xr:uid="{3C4CE8B5-CA6E-47A8-AC57-9B7F915C591B}"/>
    <cellStyle name="Normal 14" xfId="143" xr:uid="{8C75F868-5342-4E0D-B5FA-E15D5ED550C3}"/>
    <cellStyle name="Normal 2" xfId="4" xr:uid="{00000000-0005-0000-0000-000003000000}"/>
    <cellStyle name="Normal 2 2" xfId="144" xr:uid="{6C9FDA01-8BC7-4E7C-A406-F3B04A2EA5E8}"/>
    <cellStyle name="Normal 2 3" xfId="10" xr:uid="{D597D20F-9784-436E-8D39-1E41BFE7065B}"/>
    <cellStyle name="Normal 2 4" xfId="145" xr:uid="{395B81F6-EC82-4F35-B807-FAAE5B1981EE}"/>
    <cellStyle name="Normal 3" xfId="146" xr:uid="{2DECA60C-A7BB-4C1F-AA4F-252E9DF93741}"/>
    <cellStyle name="Normal 3 2" xfId="147" xr:uid="{FAAEDD45-A69B-4156-BBE1-FE24FAA87995}"/>
    <cellStyle name="Normal 3 2 2" xfId="148" xr:uid="{FBE3C631-BD52-447D-80D4-73C1E87B4F65}"/>
    <cellStyle name="Normal 3 3" xfId="149" xr:uid="{EE2D97C6-63B8-4A28-953D-D7BD57A51583}"/>
    <cellStyle name="Normal 3 4" xfId="150" xr:uid="{227BEDD4-AFF9-4102-8C9C-4061339E891F}"/>
    <cellStyle name="Normal 3 5" xfId="151" xr:uid="{FDF1F7CB-E50A-4C06-84F4-D658F0897E9E}"/>
    <cellStyle name="Normal 3 6" xfId="152" xr:uid="{82D38216-9ED2-41C7-A31F-8A60841BF15A}"/>
    <cellStyle name="Normal 4" xfId="153" xr:uid="{A41E288B-125C-452D-A0A8-F79B5C952DC8}"/>
    <cellStyle name="Normal 4 2" xfId="154" xr:uid="{95CD12BB-2768-4421-BEBA-D953C83B52B6}"/>
    <cellStyle name="Normal 43" xfId="5" xr:uid="{00000000-0005-0000-0000-000004000000}"/>
    <cellStyle name="Normal 44" xfId="155" xr:uid="{F923D135-C059-48E1-BBEC-FEDA8C0C6DB5}"/>
    <cellStyle name="Normal 45" xfId="156" xr:uid="{0C1D3295-FD05-4707-9641-0CB47F3CFA54}"/>
    <cellStyle name="Normal 46" xfId="157" xr:uid="{794FEB0D-ABF3-4D96-AD28-6260B6C45510}"/>
    <cellStyle name="Normal 5" xfId="158" xr:uid="{22B885E9-32E7-4586-AEBE-973A2FC823A6}"/>
    <cellStyle name="Normal 6" xfId="159" xr:uid="{F2736E21-FA76-493A-9BBF-C5168A359FCB}"/>
    <cellStyle name="Normal 7" xfId="160" xr:uid="{E79A3D48-217C-4141-B4D7-8FA7E7198750}"/>
    <cellStyle name="Normal 8" xfId="1" xr:uid="{00000000-0005-0000-0000-000005000000}"/>
    <cellStyle name="Normal 8 2" xfId="8" xr:uid="{11C7A769-6686-4000-87AD-18705535AD1E}"/>
    <cellStyle name="Normal 8 2 2" xfId="190" xr:uid="{05FC8D05-3414-4F42-84FF-2332FFC418F4}"/>
    <cellStyle name="Normal 8 2 2 2" xfId="192" xr:uid="{EA2B06B1-AF26-44CE-947A-C362A53936C1}"/>
    <cellStyle name="Normal 9" xfId="161" xr:uid="{D55325B3-232A-43BC-A6A3-6A359D00966D}"/>
    <cellStyle name="Normal_Resultados_Edechi_v1" xfId="189" xr:uid="{8C3A387C-EFE9-4C1E-BBB8-7D7E71EE036E}"/>
    <cellStyle name="Notas" xfId="25" builtinId="10" customBuiltin="1"/>
    <cellStyle name="Notas 2" xfId="162" xr:uid="{3BC2584C-2F7A-4C29-A8DC-9050C64C79F5}"/>
    <cellStyle name="Output Amounts" xfId="163" xr:uid="{66BB8BBC-EA75-4116-8B44-9BB4EA2912CD}"/>
    <cellStyle name="Output Column Headings" xfId="164" xr:uid="{D982F79C-EC31-467B-8A03-D9E6F9BFBD7F}"/>
    <cellStyle name="Output Line Items" xfId="165" xr:uid="{F1EF7F60-237C-46CC-8222-61284185C1CE}"/>
    <cellStyle name="Output Report Heading" xfId="166" xr:uid="{2467330F-2CD0-434A-A7C3-8E8E23B8A594}"/>
    <cellStyle name="Output Report Title" xfId="167" xr:uid="{D0FBB11C-815E-4E28-87CA-6D2DEED0A5FB}"/>
    <cellStyle name="Percent 2" xfId="2" xr:uid="{00000000-0005-0000-0000-000006000000}"/>
    <cellStyle name="Porcentaje" xfId="12" builtinId="5"/>
    <cellStyle name="Porcentaje 10" xfId="194" xr:uid="{BE1DC727-EB70-4DE7-B4E2-6E3C4F7FE5D3}"/>
    <cellStyle name="Porcentaje 2" xfId="168" xr:uid="{B02965CD-9155-48DC-BC23-532A784BFEBB}"/>
    <cellStyle name="Porcentaje 2 2" xfId="169" xr:uid="{95F1A38B-D5DA-470B-8ECB-59F13066DDD4}"/>
    <cellStyle name="Porcentaje 3" xfId="7" xr:uid="{D168BD35-E7FE-465A-8E5F-25294C43E93A}"/>
    <cellStyle name="Porcentaje 3 2" xfId="171" xr:uid="{A3138BC7-9730-4969-B616-F3CCB17542AC}"/>
    <cellStyle name="Porcentaje 3 3" xfId="170" xr:uid="{766D2127-47E3-4B2C-A3CD-E2F2F5ED9241}"/>
    <cellStyle name="Porcentaje 4" xfId="172" xr:uid="{6F749E12-E9B8-4A2A-9B63-C9C2A8BC4F29}"/>
    <cellStyle name="Porcentaje 5" xfId="173" xr:uid="{F2C1B0B4-CF72-4287-84F3-0AE9D72029A6}"/>
    <cellStyle name="Porcentaje 6" xfId="174" xr:uid="{DCACB377-3920-49D8-956A-18B3A6AA5499}"/>
    <cellStyle name="Porcentaje 7" xfId="175" xr:uid="{6E66FCD4-46E7-4FCD-B69E-A0EC7C7C2BF2}"/>
    <cellStyle name="Porcentaje 8" xfId="176" xr:uid="{7E3C959A-BA12-4F54-9E68-D20A01519940}"/>
    <cellStyle name="Porcentaje 9" xfId="177" xr:uid="{790BE616-C055-4865-8BFB-ED58AAEF20FC}"/>
    <cellStyle name="Porcentual 2" xfId="178" xr:uid="{1E2F9444-05F1-4D98-9F6F-EDAA49CDDB1E}"/>
    <cellStyle name="Porcentual 3" xfId="179" xr:uid="{CA0E7356-3F9A-4B47-8E30-2C038219E4B5}"/>
    <cellStyle name="Porcentual 4" xfId="180" xr:uid="{0A0AAD85-9FC7-4CC3-BBEA-E97B50E7D111}"/>
    <cellStyle name="Salida" xfId="20" builtinId="21" customBuiltin="1"/>
    <cellStyle name="Salida 2" xfId="181" xr:uid="{E82BBFF1-5EA8-4F27-9ED7-C0508DDA800F}"/>
    <cellStyle name="Texto de advertencia" xfId="24" builtinId="11" customBuiltin="1"/>
    <cellStyle name="Texto de advertencia 2" xfId="182" xr:uid="{7EBFBEE5-8C9C-4943-BFDD-D859F3431648}"/>
    <cellStyle name="Texto explicativo" xfId="26" builtinId="53" customBuiltin="1"/>
    <cellStyle name="Texto explicativo 2" xfId="183" xr:uid="{A7FCE7F2-5960-40DE-8292-5858D0D4ACF2}"/>
    <cellStyle name="Título 2" xfId="14" builtinId="17" customBuiltin="1"/>
    <cellStyle name="Título 2 2" xfId="184" xr:uid="{7EF68CAF-30AD-4EA9-8136-F45A70C03913}"/>
    <cellStyle name="Título 3" xfId="15" builtinId="18" customBuiltin="1"/>
    <cellStyle name="Título 3 2" xfId="185" xr:uid="{1B4952A5-F148-4BE0-966B-D23FB996EFAE}"/>
    <cellStyle name="Título 4" xfId="186" xr:uid="{BABD0FA3-01BF-4ACC-8F1A-8E4CA48545D3}"/>
    <cellStyle name="Título 5" xfId="187" xr:uid="{CDABD114-BA67-4FB9-87EB-9735C955ECE4}"/>
    <cellStyle name="Total" xfId="27" builtinId="25" customBuiltin="1"/>
    <cellStyle name="Total 2" xfId="188" xr:uid="{A1D2DC7B-58E1-4CEB-8FDB-612D4F215D0E}"/>
  </cellStyles>
  <dxfs count="9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/>
        <color rgb="FFC00000"/>
      </font>
      <fill>
        <patternFill>
          <bgColor rgb="FFFFC000"/>
        </patternFill>
      </fill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/>
        <color rgb="FFC00000"/>
      </font>
      <fill>
        <patternFill>
          <bgColor rgb="FFFFC000"/>
        </patternFill>
      </fill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/>
        <color rgb="FFC00000"/>
      </font>
      <fill>
        <patternFill>
          <bgColor rgb="FFFFC000"/>
        </patternFill>
      </fill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/>
        <color rgb="FFC00000"/>
      </font>
      <fill>
        <patternFill>
          <bgColor rgb="FFFFC000"/>
        </patternFill>
      </fill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ill>
        <patternFill>
          <bgColor rgb="FFFFC000"/>
        </patternFill>
      </fill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ill>
        <patternFill>
          <bgColor rgb="FFFFC000"/>
        </patternFill>
      </fill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ill>
        <patternFill>
          <bgColor rgb="FFFFC000"/>
        </patternFill>
      </fill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ill>
        <patternFill>
          <bgColor rgb="FFFFC000"/>
        </patternFill>
      </fill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2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\Planeamiento\ETESA\Pronosticos%20de%20Demanda\Pronosticos%20de%20Demanda%202007%20MRN\PIB-2006-EstimadoMR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iego%20Tarifario%20(2009-2013)%20Final%20entragado%20a%20ASEP%20-%2012%20agosto\2.%20Cargos%20por%20Conexi&#243;n\Cargos%20por%20Conexi&#243;n%202009-2013%20ASEP%20agost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\planeamiento\Documents%20and%20Settings\mrivera\Mis%20documentos\TARIFAS%20DE%20TRANSMISION\R&#233;gimen%202005-2009\IMP\IMP%202005-09%20(FINAL%20post%20consulta%20p&#250;blica)+MR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eperez\Mis%20documentos\ACTUALIZACION%20A&#209;O%202%20%202009-2013\IMP%202009%20-%202013\IMP%20RESOLUCION%202820%20FECHA%20DE%20PROYECT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USPT%20AT1_%20(reales%20julio%20a%20octubre)/CUSPT_M01/CUSPT_MES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CUSPT%20AT1_%20(reales%20julio%20a%20octubre)\1.%20DatosFijos.xls" TargetMode="External"/><Relationship Id="rId1" Type="http://schemas.openxmlformats.org/officeDocument/2006/relationships/externalLinkPath" Target="/CUSPT%20AT1_%20(reales%20julio%20a%20octubre)/1.%20DatosFij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CUSPT%20AT1_%20(reales%20julio%20a%20octubre)/CUSPT_M02/CUSPT_M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CUSPT%20AT1_%20(reales%20julio%20a%20octubre)/CUSPT_M03/CUSPT_M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CUSPT%20AT1_%20(reales%20julio%20a%20octubre)/CUSPT_M04/CUSPT_MES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CUSPT%20AT2\1.%20DatosFijos.xls" TargetMode="External"/><Relationship Id="rId1" Type="http://schemas.openxmlformats.org/officeDocument/2006/relationships/externalLinkPath" Target="/CUSPT%20AT2/1.%20DatosFijos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CUSPT%20AT3\1.%20DatosFijos.xls" TargetMode="External"/><Relationship Id="rId1" Type="http://schemas.openxmlformats.org/officeDocument/2006/relationships/externalLinkPath" Target="/CUSPT%20AT3/1.%20DatosFij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IB-2009-Estimado%20CCB.xls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CUSPT%20AT4\1.%20DatosFijos.xls" TargetMode="External"/><Relationship Id="rId1" Type="http://schemas.openxmlformats.org/officeDocument/2006/relationships/externalLinkPath" Target="/CUSPT%20AT4/1.%20DatosFijos.xls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CUSPT%20AT1_%20(reales%20julio%20a%20octubre)\CUSPT_Total_link.xls" TargetMode="External"/><Relationship Id="rId1" Type="http://schemas.openxmlformats.org/officeDocument/2006/relationships/externalLinkPath" Target="/CUSPT%20AT1_%20(reales%20julio%20a%20octubre)/CUSPT_Total_link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CUSPT%20AT2\CUSPT_Total_link.xls" TargetMode="External"/><Relationship Id="rId1" Type="http://schemas.openxmlformats.org/officeDocument/2006/relationships/externalLinkPath" Target="/CUSPT%20AT2/CUSPT_Total_link.xls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CUSPT%20AT3\CUSPT_Total_link.xls" TargetMode="External"/><Relationship Id="rId1" Type="http://schemas.openxmlformats.org/officeDocument/2006/relationships/externalLinkPath" Target="/CUSPT%20AT3/CUSPT_Total_link.xls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CUSPT%20AT4\CUSPT_Total_link.xls" TargetMode="External"/><Relationship Id="rId1" Type="http://schemas.openxmlformats.org/officeDocument/2006/relationships/externalLinkPath" Target="/CUSPT%20AT4/CUSPT_Total_lin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\Planeamiento\ETESA\Gerencia%20de%20Planeamiento%20%20de%20Inversiones\Pronosticos%20de%20Demanda\Pronosticos%20de%20Demanda%202014-2028\Proyecciones%20de%20PIB\PIB-2014-Estimado%20CC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\Planeamiento\ETESA\Gerencia%20de%20Planeamiento%20%20de%20Inversiones\Pronosticos%20de%20Demanda\Pronosticos%20de%20Demanda%202014-2028\Proyecciones%20de%20PIB\PIB-2014-Estimado%20CCB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vega/AppData/Local/Microsoft/Windows/INetCache/Content.Outlook/JJOZ5C2F/IMP%20ETESA%202017_2021%20Finalp(Original)%20(00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rivera\Mis%20documentos\TARIFAS%20DE%20TRANSMISION\R&#233;gimen%202005-2009\IMP\IMP%202005-09%20(FINAL%20post%20consulta%20p&#250;blica)+MR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rivera\Mis%20documentos\TARIFAS%20DE%20TRANSMISION\R&#233;gimen%202005-2009\IMP\IMP%202005-09%20(FINAL%20post%20consulta%20p&#250;blica)+MR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rivera\Mis%20documentos\TARIFAS%20DE%20TRANSMISION\R&#233;gimen%202005-2009\IMP\IMP%202005-09%20(FINAL%20post%20consulta%20p&#250;blica)+MR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lejandro\Revicoes%20tarif&#225;rias\PA\M0755-03Panam&#225;Transmisi&#243;n2003\Informes\Fase%20IVIMP\Modelo%20Tarifas%20Transmisi&#243;n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ustria-Algunos indicadores"/>
      <sheetName val="PIB 2006, tres metodologías"/>
      <sheetName val="Verificación de Estructura %"/>
      <sheetName val="Evalua Estimado 2005"/>
      <sheetName val="2001-2005-Contralorí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X cxj  "/>
      <sheetName val=" VNR2007"/>
      <sheetName val="SALIDAS Y TRANSFORMACION"/>
      <sheetName val="N de Instalaciones"/>
      <sheetName val="IMP"/>
      <sheetName val="IPCT"/>
      <sheetName val="IPCT vnr"/>
      <sheetName val="FA"/>
      <sheetName val="CX cxj  expansión condicion"/>
      <sheetName val="VERIFICACIÓN DE INGRESOS"/>
      <sheetName val="Parámetros de eficiencia"/>
      <sheetName val="S-E Charco Azul trafo"/>
      <sheetName val="S-E CHORRERA 230"/>
      <sheetName val="S-E CHORRERA trafo"/>
      <sheetName val="S-E CHORRERA 34"/>
      <sheetName val="S-E Charco azul 115"/>
      <sheetName val="S-E LL SANCHEZ 115"/>
      <sheetName val="S-E LL SANCHEZ trafo"/>
      <sheetName val="S-E PROGRESO 115"/>
      <sheetName val="S-E PROGRESO 34"/>
      <sheetName val="S-E MATA DE NANCE 34"/>
      <sheetName val="S-E LL SANCHEZ 34"/>
      <sheetName val="TEXTO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C14">
            <v>0.1071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 Base capital completa"/>
      <sheetName val="IMP O&amp;M promedio anterior"/>
      <sheetName val="IMP tasa 12.24%"/>
      <sheetName val="Graficas"/>
      <sheetName val="IMP"/>
      <sheetName val="Hidrometeorología"/>
      <sheetName val="Activos"/>
      <sheetName val="Hoja1"/>
      <sheetName val="Bienes 2004"/>
      <sheetName val="VNR"/>
      <sheetName val="VNR Líneas"/>
      <sheetName val="Compara Valor libros-vs-VNR"/>
      <sheetName val="VNR SE"/>
      <sheetName val="Inversión-Resumen"/>
      <sheetName val="Inversiones"/>
      <sheetName val="Retiros"/>
      <sheetName val="CND"/>
      <sheetName val="Informática"/>
      <sheetName val="Hoja2"/>
      <sheetName val="RRT"/>
      <sheetName val="#¡REF"/>
      <sheetName val="IMP-Ajuste-Fechas"/>
      <sheetName val="IMP-APROBADO"/>
    </sheetNames>
    <sheetDataSet>
      <sheetData sheetId="0"/>
      <sheetData sheetId="1">
        <row r="14">
          <cell r="D14">
            <v>2000.9</v>
          </cell>
        </row>
      </sheetData>
      <sheetData sheetId="2"/>
      <sheetData sheetId="3"/>
      <sheetData sheetId="4">
        <row r="14">
          <cell r="D14">
            <v>2000.9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"/>
      <sheetName val="ART. 177"/>
      <sheetName val="EVOLUCIÓN BIENES"/>
      <sheetName val="BIENES 2008"/>
      <sheetName val="ACTIVOS"/>
      <sheetName val="TASA DE DEPRECIACIÓN"/>
      <sheetName val="PLAN EXPANSIÓN"/>
      <sheetName val="PLAN EXPANSIÓN_RES"/>
      <sheetName val="VNR LÍNEAS"/>
      <sheetName val="VNR SE"/>
      <sheetName val="VNR_ RES"/>
      <sheetName val="CND"/>
      <sheetName val="CND SOLICITADO"/>
      <sheetName val="CND AJUSTADO"/>
      <sheetName val="CND AJUSTADO -RES"/>
      <sheetName val="HID"/>
      <sheetName val="HID2"/>
    </sheetNames>
    <sheetDataSet>
      <sheetData sheetId="0">
        <row r="10">
          <cell r="D10">
            <v>0.1071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os Act., IPC"/>
      <sheetName val="Resumen"/>
      <sheetName val="Input"/>
      <sheetName val="1.A"/>
      <sheetName val="1.B"/>
      <sheetName val="1.C"/>
      <sheetName val="2.A"/>
      <sheetName val="2.B"/>
      <sheetName val="2.C"/>
      <sheetName val="3.A"/>
      <sheetName val="3.B"/>
      <sheetName val="3.C"/>
    </sheetNames>
    <sheetDataSet>
      <sheetData sheetId="0"/>
      <sheetData sheetId="1">
        <row r="1">
          <cell r="B1">
            <v>1</v>
          </cell>
        </row>
        <row r="34">
          <cell r="L34">
            <v>11550.553836939009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Nod"/>
      <sheetName val="Ram"/>
      <sheetName val="%USO"/>
      <sheetName val="Dias"/>
      <sheetName val="ENERGIA"/>
      <sheetName val="ENSA"/>
      <sheetName val="1. DatosFijos"/>
    </sheetNames>
    <sheetDataSet>
      <sheetData sheetId="0">
        <row r="1">
          <cell r="B1">
            <v>1</v>
          </cell>
          <cell r="C1" t="str">
            <v>2025-2026</v>
          </cell>
        </row>
        <row r="3">
          <cell r="B3">
            <v>135998.45646718511</v>
          </cell>
          <cell r="D3">
            <v>3218.7200000000007</v>
          </cell>
        </row>
        <row r="4">
          <cell r="B4">
            <v>116312.67903253184</v>
          </cell>
          <cell r="D4">
            <v>2943.9600000000005</v>
          </cell>
          <cell r="F4">
            <v>39.50891962952344</v>
          </cell>
        </row>
        <row r="5">
          <cell r="B5">
            <v>19685.777434653271</v>
          </cell>
          <cell r="D5">
            <v>274.76000000000005</v>
          </cell>
          <cell r="F5">
            <v>71.647173659387349</v>
          </cell>
        </row>
        <row r="7">
          <cell r="C7">
            <v>1</v>
          </cell>
          <cell r="D7">
            <v>0</v>
          </cell>
          <cell r="E7">
            <v>1</v>
          </cell>
          <cell r="F7">
            <v>0</v>
          </cell>
          <cell r="G7" t="str">
            <v>(230 kV)</v>
          </cell>
        </row>
        <row r="11">
          <cell r="B11">
            <v>381.78000000000003</v>
          </cell>
          <cell r="C11">
            <v>548.68000000000006</v>
          </cell>
          <cell r="D11">
            <v>194.10000000000005</v>
          </cell>
          <cell r="E11">
            <v>600.05477999999994</v>
          </cell>
          <cell r="F11">
            <v>759.03666989999988</v>
          </cell>
          <cell r="G11">
            <v>281.45999999999998</v>
          </cell>
          <cell r="H11">
            <v>153.142</v>
          </cell>
          <cell r="I11">
            <v>260</v>
          </cell>
          <cell r="J11">
            <v>1376.25</v>
          </cell>
          <cell r="K11">
            <v>254.8</v>
          </cell>
        </row>
        <row r="12">
          <cell r="B12">
            <v>25.58</v>
          </cell>
          <cell r="C12">
            <v>0</v>
          </cell>
          <cell r="D12">
            <v>0.09</v>
          </cell>
          <cell r="E12">
            <v>139.01</v>
          </cell>
          <cell r="F12">
            <v>224.36</v>
          </cell>
          <cell r="G12">
            <v>269.92999999999995</v>
          </cell>
          <cell r="H12">
            <v>1039.24</v>
          </cell>
          <cell r="I12">
            <v>1.5</v>
          </cell>
          <cell r="J12">
            <v>146.54999999999998</v>
          </cell>
          <cell r="K12">
            <v>53.870000000000005</v>
          </cell>
        </row>
      </sheetData>
      <sheetData sheetId="1">
        <row r="3">
          <cell r="A3">
            <v>6002</v>
          </cell>
          <cell r="B3">
            <v>115</v>
          </cell>
          <cell r="C3" t="str">
            <v>Panamá 115</v>
          </cell>
          <cell r="D3" t="str">
            <v>PAN115</v>
          </cell>
          <cell r="E3">
            <v>7</v>
          </cell>
        </row>
        <row r="4">
          <cell r="A4">
            <v>6003</v>
          </cell>
          <cell r="B4">
            <v>230</v>
          </cell>
          <cell r="C4" t="str">
            <v>Panamá II 230</v>
          </cell>
          <cell r="D4" t="str">
            <v>PANII230</v>
          </cell>
          <cell r="E4">
            <v>7</v>
          </cell>
        </row>
        <row r="5">
          <cell r="A5">
            <v>6005</v>
          </cell>
          <cell r="B5">
            <v>230</v>
          </cell>
          <cell r="C5" t="str">
            <v>Chorrera 230</v>
          </cell>
          <cell r="D5" t="str">
            <v>CHO230</v>
          </cell>
          <cell r="E5">
            <v>6</v>
          </cell>
        </row>
        <row r="6">
          <cell r="A6">
            <v>6008</v>
          </cell>
          <cell r="B6">
            <v>230</v>
          </cell>
          <cell r="C6" t="str">
            <v>Llano Sánchez 230</v>
          </cell>
          <cell r="D6" t="str">
            <v>LSA230</v>
          </cell>
          <cell r="E6">
            <v>5</v>
          </cell>
        </row>
        <row r="7">
          <cell r="A7">
            <v>6011</v>
          </cell>
          <cell r="B7">
            <v>230</v>
          </cell>
          <cell r="C7" t="str">
            <v>Mata de Nance 230</v>
          </cell>
          <cell r="D7" t="str">
            <v>MDN230</v>
          </cell>
          <cell r="E7">
            <v>4</v>
          </cell>
        </row>
        <row r="8">
          <cell r="A8">
            <v>6012</v>
          </cell>
          <cell r="B8">
            <v>115</v>
          </cell>
          <cell r="C8" t="str">
            <v>Mata de Nance 115</v>
          </cell>
          <cell r="D8" t="str">
            <v>MDN115</v>
          </cell>
          <cell r="E8">
            <v>4</v>
          </cell>
        </row>
        <row r="9">
          <cell r="A9">
            <v>6013</v>
          </cell>
          <cell r="B9">
            <v>34.5</v>
          </cell>
          <cell r="C9" t="str">
            <v>Mata de Nance 34.5</v>
          </cell>
          <cell r="D9" t="str">
            <v>MDN34</v>
          </cell>
          <cell r="E9">
            <v>4</v>
          </cell>
        </row>
        <row r="10">
          <cell r="A10">
            <v>6014</v>
          </cell>
          <cell r="B10">
            <v>230</v>
          </cell>
          <cell r="C10" t="str">
            <v>Progreso 230</v>
          </cell>
          <cell r="D10" t="str">
            <v>PRO230</v>
          </cell>
          <cell r="E10">
            <v>1</v>
          </cell>
        </row>
        <row r="11">
          <cell r="A11">
            <v>6018</v>
          </cell>
          <cell r="B11">
            <v>115</v>
          </cell>
          <cell r="C11" t="str">
            <v>Cáceres</v>
          </cell>
          <cell r="D11" t="str">
            <v>CAC115</v>
          </cell>
          <cell r="E11">
            <v>7</v>
          </cell>
        </row>
        <row r="12">
          <cell r="A12">
            <v>6024</v>
          </cell>
          <cell r="B12">
            <v>115</v>
          </cell>
          <cell r="C12" t="str">
            <v>Chilibre</v>
          </cell>
          <cell r="D12" t="str">
            <v>CHI115</v>
          </cell>
          <cell r="E12">
            <v>7</v>
          </cell>
        </row>
        <row r="13">
          <cell r="A13">
            <v>6059</v>
          </cell>
          <cell r="B13">
            <v>115</v>
          </cell>
          <cell r="C13" t="str">
            <v>Las Minas 1</v>
          </cell>
          <cell r="D13" t="str">
            <v>LM1115</v>
          </cell>
          <cell r="E13">
            <v>9</v>
          </cell>
        </row>
        <row r="14">
          <cell r="A14">
            <v>6060</v>
          </cell>
          <cell r="B14">
            <v>115</v>
          </cell>
          <cell r="C14" t="str">
            <v>Las Minas 2</v>
          </cell>
          <cell r="D14" t="str">
            <v>LM2115</v>
          </cell>
          <cell r="E14">
            <v>9</v>
          </cell>
        </row>
        <row r="15">
          <cell r="A15">
            <v>6087</v>
          </cell>
          <cell r="B15">
            <v>115</v>
          </cell>
          <cell r="C15" t="str">
            <v>Caldera</v>
          </cell>
          <cell r="D15" t="str">
            <v>CAL115</v>
          </cell>
          <cell r="E15">
            <v>3</v>
          </cell>
        </row>
        <row r="16">
          <cell r="A16">
            <v>6096</v>
          </cell>
          <cell r="B16">
            <v>230</v>
          </cell>
          <cell r="C16" t="str">
            <v>Fortuna</v>
          </cell>
          <cell r="D16" t="str">
            <v>FOR230</v>
          </cell>
          <cell r="E16">
            <v>2</v>
          </cell>
        </row>
        <row r="17">
          <cell r="A17">
            <v>6100</v>
          </cell>
          <cell r="B17">
            <v>230</v>
          </cell>
          <cell r="C17" t="str">
            <v>Bayano</v>
          </cell>
          <cell r="D17" t="str">
            <v>BAY230</v>
          </cell>
          <cell r="E17">
            <v>8</v>
          </cell>
        </row>
        <row r="18">
          <cell r="A18">
            <v>6170</v>
          </cell>
          <cell r="B18">
            <v>115</v>
          </cell>
          <cell r="C18" t="str">
            <v>Cemento Panamá</v>
          </cell>
          <cell r="D18" t="str">
            <v>CPA115</v>
          </cell>
          <cell r="E18">
            <v>9</v>
          </cell>
        </row>
        <row r="19">
          <cell r="A19">
            <v>6171</v>
          </cell>
          <cell r="B19">
            <v>230</v>
          </cell>
          <cell r="C19" t="str">
            <v>Pacora</v>
          </cell>
          <cell r="D19" t="str">
            <v>PAC230</v>
          </cell>
          <cell r="E19">
            <v>7</v>
          </cell>
        </row>
        <row r="20">
          <cell r="A20">
            <v>6173</v>
          </cell>
          <cell r="B20">
            <v>115</v>
          </cell>
          <cell r="C20" t="str">
            <v>Santa Rita</v>
          </cell>
          <cell r="D20" t="str">
            <v>STR115</v>
          </cell>
          <cell r="E20">
            <v>9</v>
          </cell>
        </row>
        <row r="21">
          <cell r="A21">
            <v>6179</v>
          </cell>
          <cell r="B21">
            <v>230</v>
          </cell>
          <cell r="C21" t="str">
            <v>Guasquitas</v>
          </cell>
          <cell r="D21" t="str">
            <v>GUA230</v>
          </cell>
          <cell r="E21">
            <v>2</v>
          </cell>
        </row>
        <row r="22">
          <cell r="A22">
            <v>6182</v>
          </cell>
          <cell r="B22">
            <v>230</v>
          </cell>
          <cell r="C22" t="str">
            <v>Veladero</v>
          </cell>
          <cell r="D22" t="str">
            <v>VEL230</v>
          </cell>
          <cell r="E22">
            <v>4</v>
          </cell>
        </row>
        <row r="23">
          <cell r="A23">
            <v>6240</v>
          </cell>
          <cell r="B23">
            <v>230</v>
          </cell>
          <cell r="C23" t="str">
            <v>El Higo</v>
          </cell>
          <cell r="D23" t="str">
            <v>EHIG230</v>
          </cell>
          <cell r="E23">
            <v>6</v>
          </cell>
        </row>
        <row r="24">
          <cell r="A24">
            <v>6260</v>
          </cell>
          <cell r="B24">
            <v>230</v>
          </cell>
          <cell r="C24" t="str">
            <v>Changuinola</v>
          </cell>
          <cell r="D24" t="str">
            <v>CHA230</v>
          </cell>
          <cell r="E24">
            <v>10</v>
          </cell>
        </row>
        <row r="25">
          <cell r="A25">
            <v>6263</v>
          </cell>
          <cell r="B25">
            <v>230</v>
          </cell>
          <cell r="C25" t="str">
            <v>La Esperanza</v>
          </cell>
          <cell r="D25" t="str">
            <v>ESP230</v>
          </cell>
          <cell r="E25">
            <v>10</v>
          </cell>
        </row>
        <row r="26">
          <cell r="A26">
            <v>6290</v>
          </cell>
          <cell r="B26">
            <v>115</v>
          </cell>
          <cell r="C26" t="str">
            <v>Cativá II</v>
          </cell>
          <cell r="D26" t="str">
            <v>CATII115</v>
          </cell>
          <cell r="E26">
            <v>9</v>
          </cell>
        </row>
        <row r="27">
          <cell r="A27">
            <v>6340</v>
          </cell>
          <cell r="B27">
            <v>230</v>
          </cell>
          <cell r="C27" t="str">
            <v>Cañazas</v>
          </cell>
          <cell r="D27" t="str">
            <v>CAN230</v>
          </cell>
          <cell r="E27">
            <v>10</v>
          </cell>
        </row>
        <row r="28">
          <cell r="A28">
            <v>6380</v>
          </cell>
          <cell r="B28">
            <v>230</v>
          </cell>
          <cell r="C28" t="str">
            <v>Boquerón III</v>
          </cell>
          <cell r="D28" t="str">
            <v>BOQIII230</v>
          </cell>
          <cell r="E28">
            <v>4</v>
          </cell>
        </row>
        <row r="29">
          <cell r="A29">
            <v>6405</v>
          </cell>
          <cell r="B29">
            <v>230</v>
          </cell>
          <cell r="C29" t="str">
            <v>Telfers</v>
          </cell>
          <cell r="D29" t="str">
            <v>TEL230</v>
          </cell>
          <cell r="E29">
            <v>9</v>
          </cell>
        </row>
        <row r="30">
          <cell r="A30">
            <v>6460</v>
          </cell>
          <cell r="B30">
            <v>230</v>
          </cell>
          <cell r="C30" t="str">
            <v>El Coco</v>
          </cell>
          <cell r="D30" t="str">
            <v>ECO230</v>
          </cell>
          <cell r="E30">
            <v>5</v>
          </cell>
        </row>
        <row r="31">
          <cell r="A31">
            <v>6470</v>
          </cell>
          <cell r="B31">
            <v>230</v>
          </cell>
          <cell r="C31" t="str">
            <v>24 de Diciembre</v>
          </cell>
          <cell r="D31" t="str">
            <v>24DIC230</v>
          </cell>
          <cell r="E31">
            <v>7</v>
          </cell>
        </row>
        <row r="32">
          <cell r="A32">
            <v>6520</v>
          </cell>
          <cell r="B32">
            <v>230</v>
          </cell>
          <cell r="C32" t="str">
            <v>San Bartolo</v>
          </cell>
          <cell r="D32" t="str">
            <v>SBA230</v>
          </cell>
          <cell r="E32">
            <v>4</v>
          </cell>
        </row>
        <row r="33">
          <cell r="A33">
            <v>6550</v>
          </cell>
          <cell r="B33">
            <v>230</v>
          </cell>
          <cell r="C33" t="str">
            <v>Bella Vista</v>
          </cell>
          <cell r="D33" t="str">
            <v>BEV230</v>
          </cell>
          <cell r="E33">
            <v>4</v>
          </cell>
        </row>
        <row r="34">
          <cell r="A34">
            <v>6713</v>
          </cell>
          <cell r="B34">
            <v>230</v>
          </cell>
          <cell r="C34" t="str">
            <v>Burunga</v>
          </cell>
          <cell r="D34" t="str">
            <v>BUR230</v>
          </cell>
          <cell r="E34">
            <v>6</v>
          </cell>
        </row>
        <row r="35">
          <cell r="A35">
            <v>6801</v>
          </cell>
          <cell r="B35">
            <v>230</v>
          </cell>
          <cell r="C35" t="str">
            <v>Sabanitas</v>
          </cell>
          <cell r="D35" t="str">
            <v>SAB230</v>
          </cell>
          <cell r="E35">
            <v>9</v>
          </cell>
        </row>
        <row r="36">
          <cell r="A36">
            <v>6830</v>
          </cell>
          <cell r="B36">
            <v>230</v>
          </cell>
          <cell r="C36" t="str">
            <v>Antón</v>
          </cell>
          <cell r="D36" t="str">
            <v>ANT230</v>
          </cell>
          <cell r="E36">
            <v>6</v>
          </cell>
        </row>
        <row r="37">
          <cell r="A37">
            <v>6840</v>
          </cell>
          <cell r="B37">
            <v>230</v>
          </cell>
          <cell r="C37" t="str">
            <v>Panamá III</v>
          </cell>
          <cell r="D37" t="str">
            <v>PAN3 230</v>
          </cell>
          <cell r="E37">
            <v>7</v>
          </cell>
        </row>
        <row r="38">
          <cell r="A38">
            <v>7000</v>
          </cell>
          <cell r="C38" t="str">
            <v>T1-Panama</v>
          </cell>
          <cell r="D38" t="str">
            <v>T1-PAN</v>
          </cell>
          <cell r="E38">
            <v>7</v>
          </cell>
        </row>
        <row r="39">
          <cell r="A39">
            <v>7001</v>
          </cell>
          <cell r="C39" t="str">
            <v>T2-Panama</v>
          </cell>
          <cell r="D39" t="str">
            <v>T2-PAN</v>
          </cell>
          <cell r="E39">
            <v>7</v>
          </cell>
        </row>
        <row r="40">
          <cell r="A40">
            <v>7002</v>
          </cell>
          <cell r="C40" t="str">
            <v>T3-Panama</v>
          </cell>
          <cell r="D40" t="str">
            <v>T3-PAN</v>
          </cell>
          <cell r="E40">
            <v>7</v>
          </cell>
        </row>
        <row r="41">
          <cell r="A41">
            <v>7003</v>
          </cell>
          <cell r="C41" t="str">
            <v>T5-Panama</v>
          </cell>
          <cell r="D41" t="str">
            <v>T5-PAN</v>
          </cell>
          <cell r="E41">
            <v>7</v>
          </cell>
        </row>
        <row r="42">
          <cell r="A42">
            <v>7013</v>
          </cell>
          <cell r="C42" t="str">
            <v>T1-Mata de Nance</v>
          </cell>
          <cell r="D42" t="str">
            <v>T1-MDN</v>
          </cell>
          <cell r="E42">
            <v>4</v>
          </cell>
        </row>
        <row r="43">
          <cell r="A43">
            <v>7014</v>
          </cell>
          <cell r="C43" t="str">
            <v>T2-Mata de Nance</v>
          </cell>
          <cell r="D43" t="str">
            <v>T2-MDN</v>
          </cell>
          <cell r="E43">
            <v>4</v>
          </cell>
        </row>
        <row r="44">
          <cell r="A44">
            <v>7015</v>
          </cell>
          <cell r="C44" t="str">
            <v>T3-Mata de Nance</v>
          </cell>
          <cell r="D44" t="str">
            <v>T3-MDN</v>
          </cell>
          <cell r="E44">
            <v>4</v>
          </cell>
        </row>
        <row r="45">
          <cell r="A45">
            <v>7016</v>
          </cell>
          <cell r="C45" t="str">
            <v>T1-Changuinola</v>
          </cell>
          <cell r="D45" t="str">
            <v>T1-CHA</v>
          </cell>
          <cell r="E45">
            <v>10</v>
          </cell>
        </row>
        <row r="46">
          <cell r="A46">
            <v>7017</v>
          </cell>
          <cell r="C46" t="str">
            <v>T2-Changuinola</v>
          </cell>
          <cell r="D46" t="str">
            <v>T2-CHA</v>
          </cell>
          <cell r="E46">
            <v>10</v>
          </cell>
        </row>
      </sheetData>
      <sheetData sheetId="2">
        <row r="2">
          <cell r="C2">
            <v>230</v>
          </cell>
          <cell r="F2" t="str">
            <v>S</v>
          </cell>
          <cell r="G2">
            <v>13.09</v>
          </cell>
        </row>
        <row r="3">
          <cell r="C3">
            <v>230</v>
          </cell>
          <cell r="F3" t="str">
            <v>S</v>
          </cell>
          <cell r="G3">
            <v>13.09</v>
          </cell>
        </row>
        <row r="4">
          <cell r="C4">
            <v>230</v>
          </cell>
          <cell r="F4" t="str">
            <v>S</v>
          </cell>
          <cell r="G4">
            <v>40.479999999999997</v>
          </cell>
        </row>
        <row r="5">
          <cell r="C5">
            <v>230</v>
          </cell>
          <cell r="F5" t="str">
            <v>S</v>
          </cell>
          <cell r="G5">
            <v>3.18</v>
          </cell>
        </row>
        <row r="6">
          <cell r="C6">
            <v>230</v>
          </cell>
          <cell r="F6" t="str">
            <v>S</v>
          </cell>
          <cell r="G6">
            <v>3.18</v>
          </cell>
        </row>
        <row r="7">
          <cell r="C7">
            <v>230</v>
          </cell>
          <cell r="F7" t="str">
            <v>S</v>
          </cell>
          <cell r="G7">
            <v>40.479999999999997</v>
          </cell>
        </row>
        <row r="8">
          <cell r="C8" t="str">
            <v>TX</v>
          </cell>
          <cell r="F8" t="str">
            <v>S</v>
          </cell>
        </row>
        <row r="9">
          <cell r="C9" t="str">
            <v>TX</v>
          </cell>
          <cell r="F9" t="str">
            <v>S</v>
          </cell>
        </row>
        <row r="10">
          <cell r="C10" t="str">
            <v>TX</v>
          </cell>
          <cell r="F10" t="str">
            <v>S</v>
          </cell>
        </row>
        <row r="11">
          <cell r="C11" t="str">
            <v>TX</v>
          </cell>
          <cell r="F11" t="str">
            <v>S</v>
          </cell>
        </row>
        <row r="12">
          <cell r="C12">
            <v>115</v>
          </cell>
          <cell r="F12" t="str">
            <v>S</v>
          </cell>
          <cell r="G12">
            <v>0.81</v>
          </cell>
        </row>
        <row r="13">
          <cell r="C13">
            <v>115</v>
          </cell>
          <cell r="F13" t="str">
            <v>S</v>
          </cell>
          <cell r="G13">
            <v>0.81</v>
          </cell>
        </row>
        <row r="14">
          <cell r="C14">
            <v>115</v>
          </cell>
          <cell r="F14" t="str">
            <v>S</v>
          </cell>
          <cell r="G14">
            <v>0.81</v>
          </cell>
        </row>
        <row r="15">
          <cell r="C15">
            <v>115</v>
          </cell>
          <cell r="F15" t="str">
            <v>S</v>
          </cell>
          <cell r="G15">
            <v>22.85</v>
          </cell>
        </row>
        <row r="16">
          <cell r="C16">
            <v>115</v>
          </cell>
          <cell r="F16" t="str">
            <v>S</v>
          </cell>
          <cell r="G16">
            <v>31.18</v>
          </cell>
        </row>
        <row r="17">
          <cell r="C17" t="str">
            <v>TX</v>
          </cell>
          <cell r="F17" t="str">
            <v>S</v>
          </cell>
        </row>
        <row r="18">
          <cell r="C18" t="str">
            <v>TX</v>
          </cell>
          <cell r="F18" t="str">
            <v>S</v>
          </cell>
        </row>
        <row r="19">
          <cell r="C19" t="str">
            <v>TX</v>
          </cell>
          <cell r="F19" t="str">
            <v>S</v>
          </cell>
        </row>
        <row r="20">
          <cell r="C20" t="str">
            <v>TX</v>
          </cell>
          <cell r="F20" t="str">
            <v>S</v>
          </cell>
        </row>
        <row r="21">
          <cell r="C21">
            <v>230</v>
          </cell>
          <cell r="F21" t="str">
            <v>S</v>
          </cell>
          <cell r="G21">
            <v>19.010000000000002</v>
          </cell>
        </row>
        <row r="22">
          <cell r="C22">
            <v>230</v>
          </cell>
          <cell r="F22" t="str">
            <v>S</v>
          </cell>
          <cell r="G22">
            <v>10.67</v>
          </cell>
        </row>
        <row r="23">
          <cell r="C23">
            <v>230</v>
          </cell>
          <cell r="F23" t="str">
            <v>S</v>
          </cell>
          <cell r="G23">
            <v>14.55</v>
          </cell>
        </row>
        <row r="24">
          <cell r="C24">
            <v>230</v>
          </cell>
          <cell r="F24" t="str">
            <v>S</v>
          </cell>
          <cell r="G24">
            <v>14.55</v>
          </cell>
        </row>
        <row r="25">
          <cell r="C25">
            <v>230</v>
          </cell>
          <cell r="F25" t="str">
            <v>S</v>
          </cell>
          <cell r="G25">
            <v>50.85</v>
          </cell>
        </row>
        <row r="26">
          <cell r="C26">
            <v>230</v>
          </cell>
          <cell r="F26" t="str">
            <v>S</v>
          </cell>
          <cell r="G26">
            <v>50.85</v>
          </cell>
        </row>
        <row r="27">
          <cell r="C27">
            <v>230</v>
          </cell>
          <cell r="F27" t="str">
            <v>S</v>
          </cell>
          <cell r="G27">
            <v>60.81</v>
          </cell>
        </row>
        <row r="28">
          <cell r="C28">
            <v>230</v>
          </cell>
          <cell r="F28" t="str">
            <v>S</v>
          </cell>
          <cell r="G28">
            <v>60.81</v>
          </cell>
        </row>
        <row r="29">
          <cell r="C29">
            <v>230</v>
          </cell>
          <cell r="F29" t="str">
            <v>S</v>
          </cell>
          <cell r="G29">
            <v>95.2</v>
          </cell>
        </row>
        <row r="30">
          <cell r="C30">
            <v>230</v>
          </cell>
          <cell r="F30" t="str">
            <v>S</v>
          </cell>
          <cell r="G30">
            <v>34.89</v>
          </cell>
        </row>
        <row r="31">
          <cell r="C31">
            <v>230</v>
          </cell>
          <cell r="F31" t="str">
            <v>S</v>
          </cell>
          <cell r="G31">
            <v>34.89</v>
          </cell>
        </row>
        <row r="32">
          <cell r="C32">
            <v>230</v>
          </cell>
          <cell r="F32" t="str">
            <v>S</v>
          </cell>
          <cell r="G32">
            <v>60.99</v>
          </cell>
        </row>
        <row r="33">
          <cell r="C33">
            <v>230</v>
          </cell>
          <cell r="F33" t="str">
            <v>S</v>
          </cell>
          <cell r="G33">
            <v>156.19</v>
          </cell>
        </row>
        <row r="34">
          <cell r="C34">
            <v>230</v>
          </cell>
          <cell r="F34" t="str">
            <v>S</v>
          </cell>
          <cell r="G34">
            <v>111.38</v>
          </cell>
        </row>
        <row r="35">
          <cell r="C35">
            <v>230</v>
          </cell>
          <cell r="F35" t="str">
            <v>S</v>
          </cell>
          <cell r="G35">
            <v>111.38</v>
          </cell>
        </row>
        <row r="36">
          <cell r="C36">
            <v>230</v>
          </cell>
          <cell r="F36" t="str">
            <v>S</v>
          </cell>
          <cell r="G36">
            <v>110.65</v>
          </cell>
        </row>
        <row r="37">
          <cell r="C37">
            <v>230</v>
          </cell>
          <cell r="F37" t="str">
            <v>S</v>
          </cell>
          <cell r="G37">
            <v>81.93</v>
          </cell>
        </row>
        <row r="38">
          <cell r="C38">
            <v>230</v>
          </cell>
          <cell r="F38" t="str">
            <v>S</v>
          </cell>
          <cell r="G38">
            <v>81.93</v>
          </cell>
        </row>
        <row r="39">
          <cell r="C39">
            <v>230</v>
          </cell>
          <cell r="F39" t="str">
            <v>S</v>
          </cell>
          <cell r="G39">
            <v>44.65</v>
          </cell>
        </row>
        <row r="40">
          <cell r="C40">
            <v>230</v>
          </cell>
          <cell r="F40" t="str">
            <v>S</v>
          </cell>
          <cell r="G40">
            <v>44.65</v>
          </cell>
        </row>
        <row r="41">
          <cell r="C41">
            <v>230</v>
          </cell>
          <cell r="F41" t="str">
            <v>S</v>
          </cell>
          <cell r="G41">
            <v>68.2</v>
          </cell>
        </row>
        <row r="42">
          <cell r="C42">
            <v>230</v>
          </cell>
          <cell r="F42" t="str">
            <v>S</v>
          </cell>
          <cell r="G42">
            <v>68.2</v>
          </cell>
        </row>
        <row r="43">
          <cell r="C43">
            <v>230</v>
          </cell>
          <cell r="F43" t="str">
            <v>S</v>
          </cell>
          <cell r="G43">
            <v>107.97</v>
          </cell>
        </row>
        <row r="44">
          <cell r="C44">
            <v>230</v>
          </cell>
          <cell r="F44" t="str">
            <v>S</v>
          </cell>
          <cell r="G44">
            <v>37.72</v>
          </cell>
        </row>
        <row r="45">
          <cell r="C45">
            <v>230</v>
          </cell>
          <cell r="F45" t="str">
            <v>S</v>
          </cell>
          <cell r="G45">
            <v>37.72</v>
          </cell>
        </row>
        <row r="46">
          <cell r="C46">
            <v>230</v>
          </cell>
          <cell r="F46" t="str">
            <v>S</v>
          </cell>
          <cell r="G46">
            <v>85.6</v>
          </cell>
        </row>
        <row r="47">
          <cell r="C47">
            <v>230</v>
          </cell>
          <cell r="F47" t="str">
            <v>S</v>
          </cell>
          <cell r="G47">
            <v>85.6</v>
          </cell>
        </row>
        <row r="48">
          <cell r="C48">
            <v>230</v>
          </cell>
          <cell r="F48" t="str">
            <v>S</v>
          </cell>
          <cell r="G48">
            <v>24.17</v>
          </cell>
        </row>
        <row r="49">
          <cell r="C49" t="str">
            <v>TX</v>
          </cell>
          <cell r="F49" t="str">
            <v>S</v>
          </cell>
        </row>
        <row r="50">
          <cell r="C50" t="str">
            <v>TX</v>
          </cell>
          <cell r="F50" t="str">
            <v>S</v>
          </cell>
        </row>
        <row r="51">
          <cell r="C51" t="str">
            <v>TX</v>
          </cell>
          <cell r="F51" t="str">
            <v>S</v>
          </cell>
        </row>
        <row r="52">
          <cell r="C52">
            <v>115</v>
          </cell>
          <cell r="F52" t="str">
            <v>S</v>
          </cell>
          <cell r="G52">
            <v>25.32</v>
          </cell>
        </row>
        <row r="53">
          <cell r="C53">
            <v>115</v>
          </cell>
          <cell r="F53" t="str">
            <v>S</v>
          </cell>
          <cell r="G53">
            <v>25.32</v>
          </cell>
        </row>
        <row r="54">
          <cell r="C54" t="str">
            <v>TX</v>
          </cell>
          <cell r="F54" t="str">
            <v>S</v>
          </cell>
        </row>
        <row r="55">
          <cell r="C55" t="str">
            <v>TX</v>
          </cell>
          <cell r="F55" t="str">
            <v>S</v>
          </cell>
        </row>
        <row r="56">
          <cell r="C56" t="str">
            <v>TX</v>
          </cell>
          <cell r="F56" t="str">
            <v>S</v>
          </cell>
        </row>
        <row r="57">
          <cell r="C57" t="str">
            <v>TX</v>
          </cell>
          <cell r="F57" t="str">
            <v>S</v>
          </cell>
        </row>
        <row r="58">
          <cell r="C58" t="str">
            <v>TX</v>
          </cell>
          <cell r="F58" t="str">
            <v>S</v>
          </cell>
        </row>
        <row r="59">
          <cell r="C59" t="str">
            <v>TX</v>
          </cell>
          <cell r="F59" t="str">
            <v>S</v>
          </cell>
        </row>
        <row r="60">
          <cell r="C60">
            <v>230</v>
          </cell>
          <cell r="F60" t="str">
            <v>S</v>
          </cell>
          <cell r="G60">
            <v>29.95</v>
          </cell>
        </row>
        <row r="61">
          <cell r="C61">
            <v>115</v>
          </cell>
          <cell r="F61" t="str">
            <v>S</v>
          </cell>
          <cell r="G61">
            <v>47.81</v>
          </cell>
        </row>
        <row r="62">
          <cell r="C62">
            <v>115</v>
          </cell>
          <cell r="F62" t="str">
            <v>S</v>
          </cell>
          <cell r="G62">
            <v>47.81</v>
          </cell>
        </row>
        <row r="63">
          <cell r="C63">
            <v>115</v>
          </cell>
          <cell r="F63" t="str">
            <v>S</v>
          </cell>
          <cell r="G63">
            <v>32.08</v>
          </cell>
        </row>
        <row r="64">
          <cell r="C64">
            <v>115</v>
          </cell>
          <cell r="F64" t="str">
            <v>S</v>
          </cell>
          <cell r="G64">
            <v>6.9</v>
          </cell>
        </row>
        <row r="65">
          <cell r="C65">
            <v>115</v>
          </cell>
          <cell r="F65" t="str">
            <v>S</v>
          </cell>
          <cell r="G65">
            <v>0.96</v>
          </cell>
        </row>
        <row r="66">
          <cell r="C66">
            <v>115</v>
          </cell>
          <cell r="F66" t="str">
            <v>S</v>
          </cell>
          <cell r="G66">
            <v>25.41</v>
          </cell>
        </row>
        <row r="67">
          <cell r="C67">
            <v>230</v>
          </cell>
          <cell r="F67" t="str">
            <v>S</v>
          </cell>
          <cell r="G67">
            <v>16.399999999999999</v>
          </cell>
        </row>
        <row r="68">
          <cell r="C68">
            <v>230</v>
          </cell>
          <cell r="F68" t="str">
            <v>S</v>
          </cell>
          <cell r="G68">
            <v>97.4</v>
          </cell>
        </row>
        <row r="69">
          <cell r="C69">
            <v>230</v>
          </cell>
          <cell r="F69" t="str">
            <v>S</v>
          </cell>
          <cell r="G69">
            <v>50.88</v>
          </cell>
        </row>
        <row r="70">
          <cell r="C70">
            <v>230</v>
          </cell>
          <cell r="F70" t="str">
            <v>S</v>
          </cell>
          <cell r="G70">
            <v>60.53</v>
          </cell>
        </row>
        <row r="71">
          <cell r="C71">
            <v>115</v>
          </cell>
          <cell r="F71" t="str">
            <v>S</v>
          </cell>
          <cell r="G71">
            <v>6.69</v>
          </cell>
        </row>
        <row r="72">
          <cell r="C72">
            <v>230</v>
          </cell>
          <cell r="F72" t="str">
            <v>S</v>
          </cell>
          <cell r="G72">
            <v>84.81</v>
          </cell>
        </row>
        <row r="73">
          <cell r="C73">
            <v>230</v>
          </cell>
          <cell r="F73" t="str">
            <v>S</v>
          </cell>
          <cell r="G73">
            <v>84.81</v>
          </cell>
        </row>
        <row r="74">
          <cell r="C74">
            <v>230</v>
          </cell>
          <cell r="F74" t="str">
            <v>S</v>
          </cell>
          <cell r="G74">
            <v>42.89</v>
          </cell>
        </row>
        <row r="75">
          <cell r="C75">
            <v>230</v>
          </cell>
          <cell r="F75" t="str">
            <v>S</v>
          </cell>
          <cell r="G75">
            <v>42.89</v>
          </cell>
        </row>
        <row r="76">
          <cell r="C76">
            <v>230</v>
          </cell>
          <cell r="F76" t="str">
            <v>S</v>
          </cell>
          <cell r="G76">
            <v>8.66</v>
          </cell>
        </row>
        <row r="77">
          <cell r="C77">
            <v>230</v>
          </cell>
          <cell r="F77" t="str">
            <v>S</v>
          </cell>
          <cell r="G77">
            <v>24.66</v>
          </cell>
        </row>
        <row r="78">
          <cell r="C78">
            <v>230</v>
          </cell>
          <cell r="F78" t="str">
            <v>S</v>
          </cell>
          <cell r="G78">
            <v>78.38</v>
          </cell>
        </row>
        <row r="79">
          <cell r="C79">
            <v>230</v>
          </cell>
          <cell r="F79" t="str">
            <v>S</v>
          </cell>
          <cell r="G79">
            <v>45.57</v>
          </cell>
        </row>
        <row r="80">
          <cell r="C80">
            <v>230</v>
          </cell>
          <cell r="F80" t="str">
            <v>S</v>
          </cell>
          <cell r="G80">
            <v>117.22</v>
          </cell>
        </row>
        <row r="81">
          <cell r="C81">
            <v>230</v>
          </cell>
          <cell r="F81" t="str">
            <v>S</v>
          </cell>
          <cell r="G81">
            <v>117.22</v>
          </cell>
        </row>
        <row r="82">
          <cell r="C82">
            <v>230</v>
          </cell>
          <cell r="F82" t="str">
            <v>S</v>
          </cell>
          <cell r="G82">
            <v>19.399999999999999</v>
          </cell>
        </row>
        <row r="83">
          <cell r="C83">
            <v>230</v>
          </cell>
          <cell r="F83" t="str">
            <v>S</v>
          </cell>
          <cell r="G83">
            <v>19.399999999999999</v>
          </cell>
        </row>
        <row r="84">
          <cell r="C84">
            <v>230</v>
          </cell>
          <cell r="F84" t="str">
            <v>S</v>
          </cell>
          <cell r="G84">
            <v>45.69</v>
          </cell>
        </row>
        <row r="85">
          <cell r="C85">
            <v>230</v>
          </cell>
          <cell r="F85" t="str">
            <v>S</v>
          </cell>
          <cell r="G85">
            <v>45.69</v>
          </cell>
        </row>
        <row r="86">
          <cell r="C86">
            <v>230</v>
          </cell>
          <cell r="F86" t="str">
            <v>S</v>
          </cell>
          <cell r="G86">
            <v>16</v>
          </cell>
        </row>
        <row r="87">
          <cell r="C87">
            <v>230</v>
          </cell>
          <cell r="F87" t="str">
            <v>S</v>
          </cell>
          <cell r="G87">
            <v>16</v>
          </cell>
        </row>
      </sheetData>
      <sheetData sheetId="3"/>
      <sheetData sheetId="4"/>
      <sheetData sheetId="5">
        <row r="2">
          <cell r="L2">
            <v>0</v>
          </cell>
        </row>
        <row r="17">
          <cell r="L17">
            <v>0</v>
          </cell>
        </row>
      </sheetData>
      <sheetData sheetId="6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os Act., IPC"/>
      <sheetName val="Resumen"/>
      <sheetName val="Input"/>
      <sheetName val="1.A"/>
      <sheetName val="1.B"/>
      <sheetName val="1.C"/>
      <sheetName val="2.A"/>
      <sheetName val="2.B"/>
      <sheetName val="2.C"/>
      <sheetName val="3.A"/>
      <sheetName val="3.B"/>
      <sheetName val="3.C"/>
    </sheetNames>
    <sheetDataSet>
      <sheetData sheetId="0"/>
      <sheetData sheetId="1">
        <row r="1">
          <cell r="B1">
            <v>1</v>
          </cell>
        </row>
        <row r="34">
          <cell r="L34">
            <v>11550.553836939009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os Act., IPC"/>
      <sheetName val="Resumen"/>
      <sheetName val="Input"/>
      <sheetName val="1.A"/>
      <sheetName val="1.B"/>
      <sheetName val="1.C"/>
      <sheetName val="2.A"/>
      <sheetName val="2.B"/>
      <sheetName val="2.C"/>
      <sheetName val="3.A"/>
      <sheetName val="3.B"/>
      <sheetName val="3.C"/>
    </sheetNames>
    <sheetDataSet>
      <sheetData sheetId="0"/>
      <sheetData sheetId="1">
        <row r="1">
          <cell r="B1">
            <v>1</v>
          </cell>
        </row>
        <row r="34">
          <cell r="L34">
            <v>11177.955326070009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os Act., IPC"/>
      <sheetName val="Resumen"/>
      <sheetName val="Input"/>
      <sheetName val="1.A"/>
      <sheetName val="1.B"/>
      <sheetName val="1.C"/>
      <sheetName val="2.A"/>
      <sheetName val="2.B"/>
      <sheetName val="2.C"/>
      <sheetName val="3.A"/>
      <sheetName val="3.B"/>
      <sheetName val="3.C"/>
    </sheetNames>
    <sheetDataSet>
      <sheetData sheetId="0"/>
      <sheetData sheetId="1">
        <row r="1">
          <cell r="B1">
            <v>1</v>
          </cell>
        </row>
        <row r="34">
          <cell r="L34">
            <v>11550.553836939009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Nod"/>
      <sheetName val="Ram"/>
      <sheetName val="%USO"/>
      <sheetName val="Dias"/>
      <sheetName val="ENERGIA"/>
      <sheetName val="ENSA"/>
      <sheetName val="1. DatosFijos"/>
    </sheetNames>
    <sheetDataSet>
      <sheetData sheetId="0">
        <row r="1">
          <cell r="B1">
            <v>2</v>
          </cell>
          <cell r="C1" t="str">
            <v>2026-2027</v>
          </cell>
        </row>
        <row r="3">
          <cell r="B3">
            <v>132548.9018272885</v>
          </cell>
          <cell r="D3">
            <v>3473.2899999999995</v>
          </cell>
        </row>
        <row r="4">
          <cell r="B4">
            <v>113362.44744859995</v>
          </cell>
          <cell r="D4">
            <v>3198.5299999999993</v>
          </cell>
          <cell r="F4">
            <v>35.442046017576814</v>
          </cell>
        </row>
        <row r="5">
          <cell r="B5">
            <v>19186.454378688548</v>
          </cell>
          <cell r="D5">
            <v>274.76000000000005</v>
          </cell>
          <cell r="F5">
            <v>69.829867443181485</v>
          </cell>
        </row>
        <row r="7">
          <cell r="C7">
            <v>1</v>
          </cell>
          <cell r="D7">
            <v>0</v>
          </cell>
          <cell r="E7">
            <v>1</v>
          </cell>
          <cell r="F7">
            <v>0</v>
          </cell>
          <cell r="G7" t="str">
            <v>(230 kV)</v>
          </cell>
        </row>
        <row r="11">
          <cell r="B11">
            <v>381.78000000000003</v>
          </cell>
          <cell r="C11">
            <v>548.68000000000006</v>
          </cell>
          <cell r="D11">
            <v>194.10000000000005</v>
          </cell>
          <cell r="E11">
            <v>764.84999999999968</v>
          </cell>
          <cell r="F11">
            <v>806.46999999999991</v>
          </cell>
          <cell r="G11">
            <v>281.45999999999998</v>
          </cell>
          <cell r="H11">
            <v>153.13999999999999</v>
          </cell>
          <cell r="I11">
            <v>260</v>
          </cell>
          <cell r="J11">
            <v>1376.25</v>
          </cell>
          <cell r="K11">
            <v>254.8</v>
          </cell>
        </row>
        <row r="12">
          <cell r="B12">
            <v>26.509999999999998</v>
          </cell>
          <cell r="C12">
            <v>0</v>
          </cell>
          <cell r="D12">
            <v>0.09</v>
          </cell>
          <cell r="E12">
            <v>140.5</v>
          </cell>
          <cell r="F12">
            <v>224.51253899660921</v>
          </cell>
          <cell r="G12">
            <v>279.06400000000002</v>
          </cell>
          <cell r="H12">
            <v>1044.2144864999998</v>
          </cell>
          <cell r="I12">
            <v>1.6</v>
          </cell>
          <cell r="J12">
            <v>150.142</v>
          </cell>
          <cell r="K12">
            <v>55.33</v>
          </cell>
        </row>
      </sheetData>
      <sheetData sheetId="1">
        <row r="3">
          <cell r="A3">
            <v>6002</v>
          </cell>
          <cell r="B3">
            <v>115</v>
          </cell>
          <cell r="C3" t="str">
            <v>Panamá 115</v>
          </cell>
          <cell r="D3" t="str">
            <v>PAN115</v>
          </cell>
          <cell r="E3">
            <v>7</v>
          </cell>
        </row>
        <row r="4">
          <cell r="A4">
            <v>6003</v>
          </cell>
          <cell r="B4">
            <v>230</v>
          </cell>
          <cell r="C4" t="str">
            <v>Panamá II 230</v>
          </cell>
          <cell r="D4" t="str">
            <v>PANII230</v>
          </cell>
          <cell r="E4">
            <v>7</v>
          </cell>
        </row>
        <row r="5">
          <cell r="A5">
            <v>6005</v>
          </cell>
          <cell r="B5">
            <v>230</v>
          </cell>
          <cell r="C5" t="str">
            <v>Chorrera 230</v>
          </cell>
          <cell r="D5" t="str">
            <v>CHO230</v>
          </cell>
          <cell r="E5">
            <v>6</v>
          </cell>
        </row>
        <row r="6">
          <cell r="A6">
            <v>6008</v>
          </cell>
          <cell r="B6">
            <v>230</v>
          </cell>
          <cell r="C6" t="str">
            <v>Llano Sánchez 230</v>
          </cell>
          <cell r="D6" t="str">
            <v>LSA230</v>
          </cell>
          <cell r="E6">
            <v>5</v>
          </cell>
        </row>
        <row r="7">
          <cell r="A7">
            <v>6011</v>
          </cell>
          <cell r="B7">
            <v>230</v>
          </cell>
          <cell r="C7" t="str">
            <v>Mata de Nance 230</v>
          </cell>
          <cell r="D7" t="str">
            <v>MDN230</v>
          </cell>
          <cell r="E7">
            <v>4</v>
          </cell>
        </row>
        <row r="8">
          <cell r="A8">
            <v>6012</v>
          </cell>
          <cell r="B8">
            <v>115</v>
          </cell>
          <cell r="C8" t="str">
            <v>Mata de Nance 115</v>
          </cell>
          <cell r="D8" t="str">
            <v>MDN115</v>
          </cell>
          <cell r="E8">
            <v>4</v>
          </cell>
        </row>
        <row r="9">
          <cell r="A9">
            <v>6013</v>
          </cell>
          <cell r="B9">
            <v>34.5</v>
          </cell>
          <cell r="C9" t="str">
            <v>Mata de Nance 34.5</v>
          </cell>
          <cell r="D9" t="str">
            <v>MDN34</v>
          </cell>
          <cell r="E9">
            <v>4</v>
          </cell>
        </row>
        <row r="10">
          <cell r="A10">
            <v>6014</v>
          </cell>
          <cell r="B10">
            <v>230</v>
          </cell>
          <cell r="C10" t="str">
            <v>Progreso 230</v>
          </cell>
          <cell r="D10" t="str">
            <v>PRO230</v>
          </cell>
          <cell r="E10">
            <v>1</v>
          </cell>
        </row>
        <row r="11">
          <cell r="A11">
            <v>6018</v>
          </cell>
          <cell r="B11">
            <v>115</v>
          </cell>
          <cell r="C11" t="str">
            <v>Cáceres</v>
          </cell>
          <cell r="D11" t="str">
            <v>CAC115</v>
          </cell>
          <cell r="E11">
            <v>7</v>
          </cell>
        </row>
        <row r="12">
          <cell r="A12">
            <v>6024</v>
          </cell>
          <cell r="B12">
            <v>115</v>
          </cell>
          <cell r="C12" t="str">
            <v>Chilibre</v>
          </cell>
          <cell r="D12" t="str">
            <v>CHI115</v>
          </cell>
          <cell r="E12">
            <v>7</v>
          </cell>
        </row>
        <row r="13">
          <cell r="A13">
            <v>6059</v>
          </cell>
          <cell r="B13">
            <v>115</v>
          </cell>
          <cell r="C13" t="str">
            <v>Las Minas 1</v>
          </cell>
          <cell r="D13" t="str">
            <v>LM1115</v>
          </cell>
          <cell r="E13">
            <v>9</v>
          </cell>
        </row>
        <row r="14">
          <cell r="A14">
            <v>6060</v>
          </cell>
          <cell r="B14">
            <v>115</v>
          </cell>
          <cell r="C14" t="str">
            <v>Las Minas 2</v>
          </cell>
          <cell r="D14" t="str">
            <v>LM2115</v>
          </cell>
          <cell r="E14">
            <v>9</v>
          </cell>
        </row>
        <row r="15">
          <cell r="A15">
            <v>6087</v>
          </cell>
          <cell r="B15">
            <v>115</v>
          </cell>
          <cell r="C15" t="str">
            <v>Caldera</v>
          </cell>
          <cell r="D15" t="str">
            <v>CAL115</v>
          </cell>
          <cell r="E15">
            <v>3</v>
          </cell>
        </row>
        <row r="16">
          <cell r="A16">
            <v>6096</v>
          </cell>
          <cell r="B16">
            <v>230</v>
          </cell>
          <cell r="C16" t="str">
            <v>Fortuna</v>
          </cell>
          <cell r="D16" t="str">
            <v>FOR230</v>
          </cell>
          <cell r="E16">
            <v>2</v>
          </cell>
        </row>
        <row r="17">
          <cell r="A17">
            <v>6100</v>
          </cell>
          <cell r="B17">
            <v>230</v>
          </cell>
          <cell r="C17" t="str">
            <v>Bayano</v>
          </cell>
          <cell r="D17" t="str">
            <v>BAY230</v>
          </cell>
          <cell r="E17">
            <v>8</v>
          </cell>
        </row>
        <row r="18">
          <cell r="A18">
            <v>6167</v>
          </cell>
          <cell r="B18">
            <v>230</v>
          </cell>
          <cell r="C18" t="str">
            <v>Santa Rita</v>
          </cell>
          <cell r="D18" t="str">
            <v>STR230</v>
          </cell>
          <cell r="E18">
            <v>9</v>
          </cell>
        </row>
        <row r="19">
          <cell r="A19">
            <v>6170</v>
          </cell>
          <cell r="B19">
            <v>115</v>
          </cell>
          <cell r="C19" t="str">
            <v>Cemento Panamá</v>
          </cell>
          <cell r="D19" t="str">
            <v>CPA115</v>
          </cell>
          <cell r="E19">
            <v>9</v>
          </cell>
        </row>
        <row r="20">
          <cell r="A20">
            <v>6171</v>
          </cell>
          <cell r="B20">
            <v>230</v>
          </cell>
          <cell r="C20" t="str">
            <v>Pacora</v>
          </cell>
          <cell r="D20" t="str">
            <v>PAC230</v>
          </cell>
          <cell r="E20">
            <v>7</v>
          </cell>
        </row>
        <row r="21">
          <cell r="A21">
            <v>6173</v>
          </cell>
          <cell r="B21">
            <v>115</v>
          </cell>
          <cell r="C21" t="str">
            <v>Santa Rita</v>
          </cell>
          <cell r="D21" t="str">
            <v>STR115</v>
          </cell>
          <cell r="E21">
            <v>9</v>
          </cell>
        </row>
        <row r="22">
          <cell r="A22">
            <v>6179</v>
          </cell>
          <cell r="B22">
            <v>230</v>
          </cell>
          <cell r="C22" t="str">
            <v>Guasquitas</v>
          </cell>
          <cell r="D22" t="str">
            <v>GUA230</v>
          </cell>
          <cell r="E22">
            <v>2</v>
          </cell>
        </row>
        <row r="23">
          <cell r="A23">
            <v>6182</v>
          </cell>
          <cell r="B23">
            <v>230</v>
          </cell>
          <cell r="C23" t="str">
            <v>Veladero</v>
          </cell>
          <cell r="D23" t="str">
            <v>VEL230</v>
          </cell>
          <cell r="E23">
            <v>4</v>
          </cell>
        </row>
        <row r="24">
          <cell r="A24">
            <v>6240</v>
          </cell>
          <cell r="B24">
            <v>230</v>
          </cell>
          <cell r="C24" t="str">
            <v>El Higo</v>
          </cell>
          <cell r="D24" t="str">
            <v>EHIG230</v>
          </cell>
          <cell r="E24">
            <v>6</v>
          </cell>
        </row>
        <row r="25">
          <cell r="A25">
            <v>6260</v>
          </cell>
          <cell r="B25">
            <v>230</v>
          </cell>
          <cell r="C25" t="str">
            <v>Changuinola</v>
          </cell>
          <cell r="D25" t="str">
            <v>CHA230</v>
          </cell>
          <cell r="E25">
            <v>10</v>
          </cell>
        </row>
        <row r="26">
          <cell r="A26">
            <v>6263</v>
          </cell>
          <cell r="B26">
            <v>230</v>
          </cell>
          <cell r="C26" t="str">
            <v>La Esperanza</v>
          </cell>
          <cell r="D26" t="str">
            <v>ESP230</v>
          </cell>
          <cell r="E26">
            <v>10</v>
          </cell>
        </row>
        <row r="27">
          <cell r="A27">
            <v>6290</v>
          </cell>
          <cell r="B27">
            <v>115</v>
          </cell>
          <cell r="C27" t="str">
            <v>Cativá II</v>
          </cell>
          <cell r="D27" t="str">
            <v>CATII115</v>
          </cell>
          <cell r="E27">
            <v>9</v>
          </cell>
        </row>
        <row r="28">
          <cell r="A28">
            <v>6340</v>
          </cell>
          <cell r="B28">
            <v>230</v>
          </cell>
          <cell r="C28" t="str">
            <v>Cañazas</v>
          </cell>
          <cell r="D28" t="str">
            <v>CAN230</v>
          </cell>
          <cell r="E28">
            <v>10</v>
          </cell>
        </row>
        <row r="29">
          <cell r="A29">
            <v>6380</v>
          </cell>
          <cell r="B29">
            <v>230</v>
          </cell>
          <cell r="C29" t="str">
            <v>Boquerón III</v>
          </cell>
          <cell r="D29" t="str">
            <v>BOQIII230</v>
          </cell>
          <cell r="E29">
            <v>4</v>
          </cell>
        </row>
        <row r="30">
          <cell r="A30">
            <v>6405</v>
          </cell>
          <cell r="B30">
            <v>230</v>
          </cell>
          <cell r="C30" t="str">
            <v>Telfers</v>
          </cell>
          <cell r="D30" t="str">
            <v>TEL230</v>
          </cell>
          <cell r="E30">
            <v>9</v>
          </cell>
        </row>
        <row r="31">
          <cell r="A31">
            <v>6460</v>
          </cell>
          <cell r="B31">
            <v>230</v>
          </cell>
          <cell r="C31" t="str">
            <v>El Coco</v>
          </cell>
          <cell r="D31" t="str">
            <v>ECO230</v>
          </cell>
          <cell r="E31">
            <v>5</v>
          </cell>
        </row>
        <row r="32">
          <cell r="A32">
            <v>6470</v>
          </cell>
          <cell r="B32">
            <v>230</v>
          </cell>
          <cell r="C32" t="str">
            <v>24 de Diciembre</v>
          </cell>
          <cell r="D32" t="str">
            <v>24DIC230</v>
          </cell>
          <cell r="E32">
            <v>7</v>
          </cell>
        </row>
        <row r="33">
          <cell r="A33">
            <v>6520</v>
          </cell>
          <cell r="B33">
            <v>230</v>
          </cell>
          <cell r="C33" t="str">
            <v>San Bartolo</v>
          </cell>
          <cell r="D33" t="str">
            <v>SBA230</v>
          </cell>
          <cell r="E33">
            <v>4</v>
          </cell>
        </row>
        <row r="34">
          <cell r="A34">
            <v>6550</v>
          </cell>
          <cell r="B34">
            <v>230</v>
          </cell>
          <cell r="C34" t="str">
            <v>Bella Vista</v>
          </cell>
          <cell r="D34" t="str">
            <v>BEV230</v>
          </cell>
          <cell r="E34">
            <v>4</v>
          </cell>
        </row>
        <row r="35">
          <cell r="A35">
            <v>6596</v>
          </cell>
          <cell r="B35">
            <v>230</v>
          </cell>
          <cell r="C35" t="str">
            <v>Santa Cruz</v>
          </cell>
          <cell r="D35" t="str">
            <v>SCR230</v>
          </cell>
          <cell r="E35">
            <v>5</v>
          </cell>
        </row>
        <row r="36">
          <cell r="A36">
            <v>6969</v>
          </cell>
          <cell r="B36">
            <v>230</v>
          </cell>
          <cell r="C36" t="str">
            <v xml:space="preserve">Santiago </v>
          </cell>
          <cell r="D36" t="str">
            <v>STG2A230</v>
          </cell>
          <cell r="E36">
            <v>4</v>
          </cell>
        </row>
        <row r="37">
          <cell r="A37">
            <v>6713</v>
          </cell>
          <cell r="B37">
            <v>230</v>
          </cell>
          <cell r="C37" t="str">
            <v>Burunga</v>
          </cell>
          <cell r="D37" t="str">
            <v>BUR230</v>
          </cell>
          <cell r="E37">
            <v>6</v>
          </cell>
        </row>
        <row r="38">
          <cell r="A38">
            <v>6801</v>
          </cell>
          <cell r="B38">
            <v>230</v>
          </cell>
          <cell r="C38" t="str">
            <v>Sabanitas</v>
          </cell>
          <cell r="D38" t="str">
            <v>SAB230</v>
          </cell>
          <cell r="E38">
            <v>9</v>
          </cell>
        </row>
        <row r="39">
          <cell r="A39">
            <v>6830</v>
          </cell>
          <cell r="B39">
            <v>230</v>
          </cell>
          <cell r="C39" t="str">
            <v>Antón</v>
          </cell>
          <cell r="D39" t="str">
            <v>ANT230</v>
          </cell>
          <cell r="E39">
            <v>6</v>
          </cell>
        </row>
        <row r="40">
          <cell r="A40">
            <v>6840</v>
          </cell>
          <cell r="B40">
            <v>230</v>
          </cell>
          <cell r="C40" t="str">
            <v>Panamá III</v>
          </cell>
          <cell r="D40" t="str">
            <v>PAN3 230</v>
          </cell>
          <cell r="E40">
            <v>7</v>
          </cell>
        </row>
        <row r="41">
          <cell r="A41">
            <v>7000</v>
          </cell>
          <cell r="C41" t="str">
            <v>T1-Panama</v>
          </cell>
          <cell r="D41" t="str">
            <v>T1-PAN</v>
          </cell>
          <cell r="E41">
            <v>7</v>
          </cell>
        </row>
        <row r="42">
          <cell r="A42">
            <v>7001</v>
          </cell>
          <cell r="C42" t="str">
            <v>T2-Panama</v>
          </cell>
          <cell r="D42" t="str">
            <v>T2-PAN</v>
          </cell>
          <cell r="E42">
            <v>7</v>
          </cell>
        </row>
        <row r="43">
          <cell r="A43">
            <v>7002</v>
          </cell>
          <cell r="C43" t="str">
            <v>T3-Panama</v>
          </cell>
          <cell r="D43" t="str">
            <v>T3-PAN</v>
          </cell>
          <cell r="E43">
            <v>7</v>
          </cell>
        </row>
        <row r="44">
          <cell r="A44">
            <v>7003</v>
          </cell>
          <cell r="C44" t="str">
            <v>T5-Panama</v>
          </cell>
          <cell r="D44" t="str">
            <v>T5-PAN</v>
          </cell>
          <cell r="E44">
            <v>7</v>
          </cell>
        </row>
        <row r="45">
          <cell r="A45">
            <v>7013</v>
          </cell>
          <cell r="C45" t="str">
            <v>T1-Mata de Nance</v>
          </cell>
          <cell r="D45" t="str">
            <v>T1-MDN</v>
          </cell>
          <cell r="E45">
            <v>4</v>
          </cell>
        </row>
        <row r="46">
          <cell r="A46">
            <v>7014</v>
          </cell>
          <cell r="C46" t="str">
            <v>T2-Mata de Nance</v>
          </cell>
          <cell r="D46" t="str">
            <v>T2-MDN</v>
          </cell>
          <cell r="E46">
            <v>4</v>
          </cell>
        </row>
        <row r="47">
          <cell r="A47">
            <v>7015</v>
          </cell>
          <cell r="C47" t="str">
            <v>T3-Mata de Nance</v>
          </cell>
          <cell r="D47" t="str">
            <v>T3-MDN</v>
          </cell>
          <cell r="E47">
            <v>4</v>
          </cell>
        </row>
        <row r="48">
          <cell r="A48">
            <v>7016</v>
          </cell>
          <cell r="C48" t="str">
            <v>T1-Changuinola</v>
          </cell>
          <cell r="D48" t="str">
            <v>T1-CHA</v>
          </cell>
          <cell r="E48">
            <v>10</v>
          </cell>
        </row>
        <row r="49">
          <cell r="A49">
            <v>7017</v>
          </cell>
          <cell r="C49" t="str">
            <v>T2-Changuinola</v>
          </cell>
          <cell r="D49" t="str">
            <v>T2-CHA</v>
          </cell>
          <cell r="E49">
            <v>10</v>
          </cell>
        </row>
      </sheetData>
      <sheetData sheetId="2">
        <row r="2">
          <cell r="C2">
            <v>230</v>
          </cell>
          <cell r="F2" t="str">
            <v>S</v>
          </cell>
          <cell r="G2">
            <v>13.09</v>
          </cell>
        </row>
        <row r="3">
          <cell r="C3">
            <v>230</v>
          </cell>
          <cell r="F3" t="str">
            <v>S</v>
          </cell>
          <cell r="G3">
            <v>13.09</v>
          </cell>
        </row>
        <row r="4">
          <cell r="C4">
            <v>230</v>
          </cell>
          <cell r="F4" t="str">
            <v>S</v>
          </cell>
          <cell r="G4">
            <v>40.479999999999997</v>
          </cell>
        </row>
        <row r="5">
          <cell r="C5">
            <v>230</v>
          </cell>
          <cell r="F5" t="str">
            <v>S</v>
          </cell>
          <cell r="G5">
            <v>3.18</v>
          </cell>
        </row>
        <row r="6">
          <cell r="C6">
            <v>230</v>
          </cell>
          <cell r="F6" t="str">
            <v>S</v>
          </cell>
          <cell r="G6">
            <v>3.18</v>
          </cell>
        </row>
        <row r="7">
          <cell r="C7">
            <v>230</v>
          </cell>
          <cell r="F7" t="str">
            <v>S</v>
          </cell>
          <cell r="G7">
            <v>40.479999999999997</v>
          </cell>
        </row>
        <row r="8">
          <cell r="C8" t="str">
            <v>TX</v>
          </cell>
          <cell r="F8" t="str">
            <v>S</v>
          </cell>
        </row>
        <row r="9">
          <cell r="C9" t="str">
            <v>TX</v>
          </cell>
          <cell r="F9" t="str">
            <v>S</v>
          </cell>
        </row>
        <row r="10">
          <cell r="C10" t="str">
            <v>TX</v>
          </cell>
          <cell r="F10" t="str">
            <v>S</v>
          </cell>
        </row>
        <row r="11">
          <cell r="C11" t="str">
            <v>TX</v>
          </cell>
          <cell r="F11" t="str">
            <v>S</v>
          </cell>
        </row>
        <row r="12">
          <cell r="C12">
            <v>115</v>
          </cell>
          <cell r="F12" t="str">
            <v>S</v>
          </cell>
          <cell r="G12">
            <v>0.81</v>
          </cell>
        </row>
        <row r="13">
          <cell r="C13">
            <v>115</v>
          </cell>
          <cell r="F13" t="str">
            <v>S</v>
          </cell>
          <cell r="G13">
            <v>0.81</v>
          </cell>
        </row>
        <row r="14">
          <cell r="C14">
            <v>115</v>
          </cell>
          <cell r="F14" t="str">
            <v>S</v>
          </cell>
          <cell r="G14">
            <v>0.81</v>
          </cell>
        </row>
        <row r="15">
          <cell r="C15">
            <v>115</v>
          </cell>
          <cell r="F15" t="str">
            <v>S</v>
          </cell>
          <cell r="G15">
            <v>22.85</v>
          </cell>
        </row>
        <row r="16">
          <cell r="C16">
            <v>115</v>
          </cell>
          <cell r="F16" t="str">
            <v>S</v>
          </cell>
          <cell r="G16">
            <v>31.18</v>
          </cell>
        </row>
        <row r="17">
          <cell r="C17" t="str">
            <v>TX</v>
          </cell>
          <cell r="F17" t="str">
            <v>S</v>
          </cell>
        </row>
        <row r="18">
          <cell r="C18" t="str">
            <v>TX</v>
          </cell>
          <cell r="F18" t="str">
            <v>S</v>
          </cell>
        </row>
        <row r="19">
          <cell r="C19" t="str">
            <v>TX</v>
          </cell>
          <cell r="F19" t="str">
            <v>S</v>
          </cell>
        </row>
        <row r="20">
          <cell r="C20" t="str">
            <v>TX</v>
          </cell>
          <cell r="F20" t="str">
            <v>S</v>
          </cell>
        </row>
        <row r="21">
          <cell r="C21">
            <v>230</v>
          </cell>
          <cell r="F21" t="str">
            <v>S</v>
          </cell>
          <cell r="G21">
            <v>19.010000000000002</v>
          </cell>
        </row>
        <row r="22">
          <cell r="C22">
            <v>230</v>
          </cell>
          <cell r="F22" t="str">
            <v>S</v>
          </cell>
          <cell r="G22">
            <v>10.67</v>
          </cell>
        </row>
        <row r="23">
          <cell r="C23">
            <v>230</v>
          </cell>
          <cell r="F23" t="str">
            <v>S</v>
          </cell>
          <cell r="G23">
            <v>14.55</v>
          </cell>
        </row>
        <row r="24">
          <cell r="C24">
            <v>230</v>
          </cell>
          <cell r="F24" t="str">
            <v>S</v>
          </cell>
          <cell r="G24">
            <v>14.55</v>
          </cell>
        </row>
        <row r="25">
          <cell r="C25">
            <v>230</v>
          </cell>
          <cell r="F25" t="str">
            <v>S</v>
          </cell>
          <cell r="G25">
            <v>50.85</v>
          </cell>
        </row>
        <row r="26">
          <cell r="C26">
            <v>230</v>
          </cell>
          <cell r="F26" t="str">
            <v>S</v>
          </cell>
          <cell r="G26">
            <v>50.85</v>
          </cell>
        </row>
        <row r="27">
          <cell r="C27">
            <v>230</v>
          </cell>
          <cell r="F27" t="str">
            <v>S</v>
          </cell>
          <cell r="G27">
            <v>60.81</v>
          </cell>
        </row>
        <row r="28">
          <cell r="C28">
            <v>230</v>
          </cell>
          <cell r="F28" t="str">
            <v>S</v>
          </cell>
          <cell r="G28">
            <v>60.81</v>
          </cell>
        </row>
        <row r="29">
          <cell r="C29">
            <v>230</v>
          </cell>
          <cell r="F29" t="str">
            <v>S</v>
          </cell>
          <cell r="G29">
            <v>95.2</v>
          </cell>
        </row>
        <row r="30">
          <cell r="C30">
            <v>230</v>
          </cell>
          <cell r="F30" t="str">
            <v>S</v>
          </cell>
          <cell r="G30">
            <v>34.89</v>
          </cell>
        </row>
        <row r="31">
          <cell r="C31">
            <v>230</v>
          </cell>
          <cell r="F31" t="str">
            <v>S</v>
          </cell>
          <cell r="G31">
            <v>34.89</v>
          </cell>
        </row>
        <row r="32">
          <cell r="C32">
            <v>230</v>
          </cell>
          <cell r="F32" t="str">
            <v>S</v>
          </cell>
          <cell r="G32">
            <v>120.19</v>
          </cell>
        </row>
        <row r="33">
          <cell r="C33">
            <v>230</v>
          </cell>
          <cell r="F33" t="str">
            <v>S</v>
          </cell>
          <cell r="G33">
            <v>111.38</v>
          </cell>
        </row>
        <row r="34">
          <cell r="C34">
            <v>230</v>
          </cell>
          <cell r="F34" t="str">
            <v>S</v>
          </cell>
          <cell r="G34">
            <v>111.38</v>
          </cell>
        </row>
        <row r="35">
          <cell r="C35">
            <v>230</v>
          </cell>
          <cell r="F35" t="str">
            <v>S</v>
          </cell>
          <cell r="G35">
            <v>110.65</v>
          </cell>
        </row>
        <row r="36">
          <cell r="C36">
            <v>230</v>
          </cell>
          <cell r="F36" t="str">
            <v>S</v>
          </cell>
          <cell r="G36">
            <v>81.93</v>
          </cell>
        </row>
        <row r="37">
          <cell r="C37">
            <v>230</v>
          </cell>
          <cell r="F37" t="str">
            <v>S</v>
          </cell>
          <cell r="G37">
            <v>81.93</v>
          </cell>
        </row>
        <row r="38">
          <cell r="C38">
            <v>230</v>
          </cell>
          <cell r="F38" t="str">
            <v>S</v>
          </cell>
          <cell r="G38">
            <v>44.65</v>
          </cell>
        </row>
        <row r="39">
          <cell r="C39">
            <v>230</v>
          </cell>
          <cell r="F39" t="str">
            <v>S</v>
          </cell>
          <cell r="G39">
            <v>44.65</v>
          </cell>
        </row>
        <row r="40">
          <cell r="C40">
            <v>230</v>
          </cell>
          <cell r="F40" t="str">
            <v>S</v>
          </cell>
          <cell r="G40">
            <v>68.2</v>
          </cell>
        </row>
        <row r="41">
          <cell r="C41">
            <v>230</v>
          </cell>
          <cell r="F41" t="str">
            <v>S</v>
          </cell>
          <cell r="G41">
            <v>68.2</v>
          </cell>
        </row>
        <row r="42">
          <cell r="C42">
            <v>230</v>
          </cell>
          <cell r="F42" t="str">
            <v>S</v>
          </cell>
          <cell r="G42">
            <v>107.97</v>
          </cell>
        </row>
        <row r="43">
          <cell r="C43">
            <v>230</v>
          </cell>
          <cell r="F43" t="str">
            <v>S</v>
          </cell>
          <cell r="G43">
            <v>36</v>
          </cell>
        </row>
        <row r="44">
          <cell r="C44">
            <v>230</v>
          </cell>
          <cell r="F44" t="str">
            <v>S</v>
          </cell>
          <cell r="G44">
            <v>36</v>
          </cell>
        </row>
        <row r="45">
          <cell r="C45">
            <v>230</v>
          </cell>
          <cell r="F45" t="str">
            <v>S</v>
          </cell>
          <cell r="G45">
            <v>35.78</v>
          </cell>
        </row>
        <row r="46">
          <cell r="C46">
            <v>230</v>
          </cell>
          <cell r="F46" t="str">
            <v>S</v>
          </cell>
          <cell r="G46">
            <v>37.72</v>
          </cell>
        </row>
        <row r="47">
          <cell r="C47">
            <v>230</v>
          </cell>
          <cell r="F47" t="str">
            <v>S</v>
          </cell>
          <cell r="G47">
            <v>37.72</v>
          </cell>
        </row>
        <row r="48">
          <cell r="C48">
            <v>230</v>
          </cell>
          <cell r="F48" t="str">
            <v>S</v>
          </cell>
          <cell r="G48">
            <v>85.6</v>
          </cell>
        </row>
        <row r="49">
          <cell r="C49">
            <v>230</v>
          </cell>
          <cell r="F49" t="str">
            <v>S</v>
          </cell>
          <cell r="G49">
            <v>85.6</v>
          </cell>
        </row>
        <row r="50">
          <cell r="C50">
            <v>230</v>
          </cell>
          <cell r="F50" t="str">
            <v>S</v>
          </cell>
          <cell r="G50">
            <v>85.6</v>
          </cell>
        </row>
        <row r="51">
          <cell r="C51">
            <v>230</v>
          </cell>
          <cell r="F51" t="str">
            <v>S</v>
          </cell>
          <cell r="G51">
            <v>24.17</v>
          </cell>
        </row>
        <row r="52">
          <cell r="C52">
            <v>230</v>
          </cell>
          <cell r="F52" t="str">
            <v>S</v>
          </cell>
          <cell r="G52">
            <v>54.12</v>
          </cell>
        </row>
        <row r="53">
          <cell r="C53" t="str">
            <v>TX</v>
          </cell>
          <cell r="F53" t="str">
            <v>S</v>
          </cell>
        </row>
        <row r="54">
          <cell r="C54" t="str">
            <v>TX</v>
          </cell>
          <cell r="F54" t="str">
            <v>S</v>
          </cell>
        </row>
        <row r="55">
          <cell r="C55" t="str">
            <v>TX</v>
          </cell>
          <cell r="F55" t="str">
            <v>S</v>
          </cell>
        </row>
        <row r="56">
          <cell r="C56">
            <v>115</v>
          </cell>
          <cell r="F56" t="str">
            <v>S</v>
          </cell>
          <cell r="G56">
            <v>25.32</v>
          </cell>
        </row>
        <row r="57">
          <cell r="C57">
            <v>115</v>
          </cell>
          <cell r="F57" t="str">
            <v>S</v>
          </cell>
          <cell r="G57">
            <v>25.32</v>
          </cell>
        </row>
        <row r="58">
          <cell r="C58" t="str">
            <v>TX</v>
          </cell>
          <cell r="F58" t="str">
            <v>S</v>
          </cell>
        </row>
        <row r="59">
          <cell r="C59" t="str">
            <v>TX</v>
          </cell>
          <cell r="F59" t="str">
            <v>S</v>
          </cell>
        </row>
        <row r="60">
          <cell r="C60" t="str">
            <v>TX</v>
          </cell>
          <cell r="F60" t="str">
            <v>S</v>
          </cell>
        </row>
        <row r="61">
          <cell r="C61" t="str">
            <v>TX</v>
          </cell>
          <cell r="F61" t="str">
            <v>S</v>
          </cell>
        </row>
        <row r="62">
          <cell r="C62" t="str">
            <v>TX</v>
          </cell>
          <cell r="F62" t="str">
            <v>S</v>
          </cell>
        </row>
        <row r="63">
          <cell r="C63" t="str">
            <v>TX</v>
          </cell>
          <cell r="F63" t="str">
            <v>S</v>
          </cell>
        </row>
        <row r="64">
          <cell r="C64">
            <v>230</v>
          </cell>
          <cell r="F64" t="str">
            <v>S</v>
          </cell>
          <cell r="G64">
            <v>29.95</v>
          </cell>
        </row>
        <row r="65">
          <cell r="C65">
            <v>115</v>
          </cell>
          <cell r="F65" t="str">
            <v>S</v>
          </cell>
          <cell r="G65">
            <v>47.81</v>
          </cell>
        </row>
        <row r="66">
          <cell r="C66">
            <v>115</v>
          </cell>
          <cell r="F66" t="str">
            <v>S</v>
          </cell>
          <cell r="G66">
            <v>47.81</v>
          </cell>
        </row>
        <row r="67">
          <cell r="C67">
            <v>115</v>
          </cell>
          <cell r="F67" t="str">
            <v>S</v>
          </cell>
          <cell r="G67">
            <v>32.08</v>
          </cell>
        </row>
        <row r="68">
          <cell r="C68">
            <v>115</v>
          </cell>
          <cell r="F68" t="str">
            <v>S</v>
          </cell>
          <cell r="G68">
            <v>6.9</v>
          </cell>
        </row>
        <row r="69">
          <cell r="C69">
            <v>115</v>
          </cell>
          <cell r="F69" t="str">
            <v>S</v>
          </cell>
          <cell r="G69">
            <v>0.96</v>
          </cell>
        </row>
        <row r="70">
          <cell r="C70">
            <v>115</v>
          </cell>
          <cell r="F70" t="str">
            <v>S</v>
          </cell>
          <cell r="G70">
            <v>25.41</v>
          </cell>
        </row>
        <row r="71">
          <cell r="C71">
            <v>230</v>
          </cell>
          <cell r="F71" t="str">
            <v>S</v>
          </cell>
          <cell r="G71">
            <v>16.399999999999999</v>
          </cell>
        </row>
        <row r="72">
          <cell r="C72">
            <v>230</v>
          </cell>
          <cell r="F72" t="str">
            <v>S</v>
          </cell>
          <cell r="G72">
            <v>97.4</v>
          </cell>
        </row>
        <row r="73">
          <cell r="C73">
            <v>230</v>
          </cell>
          <cell r="F73" t="str">
            <v>S</v>
          </cell>
          <cell r="G73">
            <v>50.88</v>
          </cell>
        </row>
        <row r="74">
          <cell r="C74">
            <v>230</v>
          </cell>
          <cell r="F74" t="str">
            <v>S</v>
          </cell>
          <cell r="G74">
            <v>60.53</v>
          </cell>
        </row>
        <row r="75">
          <cell r="C75">
            <v>115</v>
          </cell>
          <cell r="F75" t="str">
            <v>S</v>
          </cell>
          <cell r="G75">
            <v>6.69</v>
          </cell>
        </row>
        <row r="76">
          <cell r="C76">
            <v>230</v>
          </cell>
          <cell r="F76" t="str">
            <v>S</v>
          </cell>
          <cell r="G76">
            <v>84.81</v>
          </cell>
        </row>
        <row r="77">
          <cell r="C77">
            <v>230</v>
          </cell>
          <cell r="F77" t="str">
            <v>S</v>
          </cell>
          <cell r="G77">
            <v>84.81</v>
          </cell>
        </row>
        <row r="78">
          <cell r="C78">
            <v>230</v>
          </cell>
          <cell r="F78" t="str">
            <v>S</v>
          </cell>
          <cell r="G78">
            <v>42.89</v>
          </cell>
        </row>
        <row r="79">
          <cell r="C79">
            <v>230</v>
          </cell>
          <cell r="F79" t="str">
            <v>S</v>
          </cell>
          <cell r="G79">
            <v>42.89</v>
          </cell>
        </row>
        <row r="80">
          <cell r="C80">
            <v>230</v>
          </cell>
          <cell r="F80" t="str">
            <v>S</v>
          </cell>
          <cell r="G80">
            <v>8.66</v>
          </cell>
        </row>
        <row r="81">
          <cell r="C81">
            <v>230</v>
          </cell>
          <cell r="F81" t="str">
            <v>S</v>
          </cell>
          <cell r="G81">
            <v>74.87</v>
          </cell>
        </row>
        <row r="82">
          <cell r="C82">
            <v>230</v>
          </cell>
          <cell r="F82" t="str">
            <v>S</v>
          </cell>
          <cell r="G82">
            <v>24.66</v>
          </cell>
        </row>
        <row r="83">
          <cell r="C83">
            <v>230</v>
          </cell>
          <cell r="F83" t="str">
            <v>S</v>
          </cell>
          <cell r="G83">
            <v>78.38</v>
          </cell>
        </row>
        <row r="84">
          <cell r="C84">
            <v>230</v>
          </cell>
          <cell r="F84" t="str">
            <v>S</v>
          </cell>
          <cell r="G84">
            <v>45.57</v>
          </cell>
        </row>
        <row r="85">
          <cell r="C85">
            <v>230</v>
          </cell>
          <cell r="F85" t="str">
            <v>S</v>
          </cell>
          <cell r="G85">
            <v>117.22</v>
          </cell>
        </row>
        <row r="86">
          <cell r="C86">
            <v>230</v>
          </cell>
          <cell r="F86" t="str">
            <v>S</v>
          </cell>
          <cell r="G86">
            <v>117.22</v>
          </cell>
        </row>
        <row r="87">
          <cell r="C87">
            <v>230</v>
          </cell>
          <cell r="F87" t="str">
            <v>S</v>
          </cell>
          <cell r="G87">
            <v>24.99</v>
          </cell>
        </row>
        <row r="88">
          <cell r="C88">
            <v>230</v>
          </cell>
          <cell r="F88" t="str">
            <v>S</v>
          </cell>
          <cell r="G88">
            <v>19.399999999999999</v>
          </cell>
        </row>
        <row r="89">
          <cell r="C89">
            <v>230</v>
          </cell>
          <cell r="F89" t="str">
            <v>S</v>
          </cell>
          <cell r="G89">
            <v>19.399999999999999</v>
          </cell>
        </row>
        <row r="90">
          <cell r="C90">
            <v>230</v>
          </cell>
          <cell r="F90" t="str">
            <v>S</v>
          </cell>
          <cell r="G90">
            <v>45.69</v>
          </cell>
        </row>
        <row r="91">
          <cell r="C91">
            <v>230</v>
          </cell>
          <cell r="F91" t="str">
            <v>S</v>
          </cell>
          <cell r="G91">
            <v>45.69</v>
          </cell>
        </row>
        <row r="92">
          <cell r="C92">
            <v>230</v>
          </cell>
          <cell r="F92" t="str">
            <v>S</v>
          </cell>
          <cell r="G92">
            <v>16</v>
          </cell>
        </row>
        <row r="93">
          <cell r="C93">
            <v>230</v>
          </cell>
          <cell r="F93" t="str">
            <v>S</v>
          </cell>
          <cell r="G93">
            <v>16</v>
          </cell>
        </row>
        <row r="94">
          <cell r="C94">
            <v>230</v>
          </cell>
          <cell r="F94" t="str">
            <v>S</v>
          </cell>
        </row>
        <row r="95">
          <cell r="C95">
            <v>230</v>
          </cell>
          <cell r="F95" t="str">
            <v>S</v>
          </cell>
        </row>
        <row r="96">
          <cell r="C96">
            <v>230</v>
          </cell>
          <cell r="F96" t="str">
            <v>S</v>
          </cell>
          <cell r="G96">
            <v>2.1</v>
          </cell>
        </row>
        <row r="97">
          <cell r="C97">
            <v>230</v>
          </cell>
          <cell r="F97" t="str">
            <v>S</v>
          </cell>
          <cell r="G97">
            <v>2.1</v>
          </cell>
        </row>
      </sheetData>
      <sheetData sheetId="3"/>
      <sheetData sheetId="4"/>
      <sheetData sheetId="5">
        <row r="2">
          <cell r="L2">
            <v>0</v>
          </cell>
        </row>
        <row r="17">
          <cell r="L17">
            <v>0</v>
          </cell>
        </row>
      </sheetData>
      <sheetData sheetId="6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Nod"/>
      <sheetName val="Ram"/>
      <sheetName val="%USO"/>
      <sheetName val="Dias"/>
      <sheetName val="ENERGIA"/>
      <sheetName val="ENSA"/>
    </sheetNames>
    <sheetDataSet>
      <sheetData sheetId="0">
        <row r="1">
          <cell r="B1">
            <v>3</v>
          </cell>
          <cell r="C1" t="str">
            <v>2027-2028</v>
          </cell>
        </row>
        <row r="3">
          <cell r="B3">
            <v>127459.10075543809</v>
          </cell>
          <cell r="D3">
            <v>3865.329999999999</v>
          </cell>
        </row>
        <row r="4">
          <cell r="B4">
            <v>109009.39511412424</v>
          </cell>
          <cell r="D4">
            <v>3590.5699999999988</v>
          </cell>
          <cell r="F4">
            <v>30.359913638816199</v>
          </cell>
        </row>
        <row r="5">
          <cell r="B5">
            <v>18449.705641313849</v>
          </cell>
          <cell r="D5">
            <v>274.76000000000005</v>
          </cell>
          <cell r="F5">
            <v>67.148440971443605</v>
          </cell>
        </row>
        <row r="7">
          <cell r="C7">
            <v>1</v>
          </cell>
          <cell r="D7">
            <v>0</v>
          </cell>
          <cell r="E7">
            <v>1</v>
          </cell>
          <cell r="F7">
            <v>0</v>
          </cell>
          <cell r="G7" t="str">
            <v>(230 kV)</v>
          </cell>
        </row>
        <row r="11">
          <cell r="B11">
            <v>381.78000000000003</v>
          </cell>
          <cell r="C11">
            <v>548.68000000000006</v>
          </cell>
          <cell r="D11">
            <v>194.10000000000005</v>
          </cell>
          <cell r="E11">
            <v>794.84999999999968</v>
          </cell>
          <cell r="F11">
            <v>806.46999999999991</v>
          </cell>
          <cell r="G11">
            <v>451.46</v>
          </cell>
          <cell r="H11">
            <v>153.13999999999999</v>
          </cell>
          <cell r="I11">
            <v>260</v>
          </cell>
          <cell r="J11">
            <v>1376.25</v>
          </cell>
          <cell r="K11">
            <v>254.8</v>
          </cell>
        </row>
        <row r="12">
          <cell r="B12">
            <v>27.68</v>
          </cell>
          <cell r="C12">
            <v>0</v>
          </cell>
          <cell r="D12">
            <v>0.09</v>
          </cell>
          <cell r="E12">
            <v>142.41</v>
          </cell>
          <cell r="F12">
            <v>224.80253899660923</v>
          </cell>
          <cell r="G12">
            <v>286.99</v>
          </cell>
          <cell r="H12">
            <v>1066.42</v>
          </cell>
          <cell r="I12">
            <v>1.7</v>
          </cell>
          <cell r="J12">
            <v>153.85</v>
          </cell>
          <cell r="K12">
            <v>56.870000000000005</v>
          </cell>
        </row>
      </sheetData>
      <sheetData sheetId="1">
        <row r="3">
          <cell r="A3">
            <v>6002</v>
          </cell>
          <cell r="B3">
            <v>115</v>
          </cell>
          <cell r="C3" t="str">
            <v>Panamá 115</v>
          </cell>
          <cell r="D3" t="str">
            <v>PAN115</v>
          </cell>
          <cell r="E3">
            <v>7</v>
          </cell>
        </row>
        <row r="4">
          <cell r="A4">
            <v>6003</v>
          </cell>
          <cell r="B4">
            <v>230</v>
          </cell>
          <cell r="C4" t="str">
            <v>Panamá II 230</v>
          </cell>
          <cell r="D4" t="str">
            <v>PANII230</v>
          </cell>
          <cell r="E4">
            <v>7</v>
          </cell>
        </row>
        <row r="5">
          <cell r="A5">
            <v>6005</v>
          </cell>
          <cell r="B5">
            <v>230</v>
          </cell>
          <cell r="C5" t="str">
            <v>Chorrera 230</v>
          </cell>
          <cell r="D5" t="str">
            <v>CHO230</v>
          </cell>
          <cell r="E5">
            <v>6</v>
          </cell>
        </row>
        <row r="6">
          <cell r="A6">
            <v>6008</v>
          </cell>
          <cell r="B6">
            <v>230</v>
          </cell>
          <cell r="C6" t="str">
            <v>Llano Sánchez 230</v>
          </cell>
          <cell r="D6" t="str">
            <v>LSA230</v>
          </cell>
          <cell r="E6">
            <v>5</v>
          </cell>
        </row>
        <row r="7">
          <cell r="A7">
            <v>6011</v>
          </cell>
          <cell r="B7">
            <v>230</v>
          </cell>
          <cell r="C7" t="str">
            <v>Mata de Nance 230</v>
          </cell>
          <cell r="D7" t="str">
            <v>MDN230</v>
          </cell>
          <cell r="E7">
            <v>4</v>
          </cell>
        </row>
        <row r="8">
          <cell r="A8">
            <v>6012</v>
          </cell>
          <cell r="B8">
            <v>115</v>
          </cell>
          <cell r="C8" t="str">
            <v>Mata de Nance 115</v>
          </cell>
          <cell r="D8" t="str">
            <v>MDN115</v>
          </cell>
          <cell r="E8">
            <v>4</v>
          </cell>
        </row>
        <row r="9">
          <cell r="A9">
            <v>6013</v>
          </cell>
          <cell r="B9">
            <v>34.5</v>
          </cell>
          <cell r="C9" t="str">
            <v>Mata de Nance 34.5</v>
          </cell>
          <cell r="D9" t="str">
            <v>MDN34</v>
          </cell>
          <cell r="E9">
            <v>4</v>
          </cell>
        </row>
        <row r="10">
          <cell r="A10">
            <v>6014</v>
          </cell>
          <cell r="B10">
            <v>230</v>
          </cell>
          <cell r="C10" t="str">
            <v>Progreso 230</v>
          </cell>
          <cell r="D10" t="str">
            <v>PRO230</v>
          </cell>
          <cell r="E10">
            <v>1</v>
          </cell>
        </row>
        <row r="11">
          <cell r="A11">
            <v>6018</v>
          </cell>
          <cell r="B11">
            <v>115</v>
          </cell>
          <cell r="C11" t="str">
            <v>Cáceres</v>
          </cell>
          <cell r="D11" t="str">
            <v>CAC115</v>
          </cell>
          <cell r="E11">
            <v>7</v>
          </cell>
        </row>
        <row r="12">
          <cell r="A12">
            <v>6024</v>
          </cell>
          <cell r="B12">
            <v>115</v>
          </cell>
          <cell r="C12" t="str">
            <v>Chilibre</v>
          </cell>
          <cell r="D12" t="str">
            <v>CHI115</v>
          </cell>
          <cell r="E12">
            <v>7</v>
          </cell>
        </row>
        <row r="13">
          <cell r="A13">
            <v>6059</v>
          </cell>
          <cell r="B13">
            <v>115</v>
          </cell>
          <cell r="C13" t="str">
            <v>Las Minas 1</v>
          </cell>
          <cell r="D13" t="str">
            <v>LM1115</v>
          </cell>
          <cell r="E13">
            <v>9</v>
          </cell>
        </row>
        <row r="14">
          <cell r="A14">
            <v>6060</v>
          </cell>
          <cell r="B14">
            <v>115</v>
          </cell>
          <cell r="C14" t="str">
            <v>Las Minas 2</v>
          </cell>
          <cell r="D14" t="str">
            <v>LM2115</v>
          </cell>
          <cell r="E14">
            <v>9</v>
          </cell>
        </row>
        <row r="15">
          <cell r="A15">
            <v>6087</v>
          </cell>
          <cell r="B15">
            <v>115</v>
          </cell>
          <cell r="C15" t="str">
            <v>Caldera</v>
          </cell>
          <cell r="D15" t="str">
            <v>CAL115</v>
          </cell>
          <cell r="E15">
            <v>3</v>
          </cell>
        </row>
        <row r="16">
          <cell r="A16">
            <v>6096</v>
          </cell>
          <cell r="B16">
            <v>230</v>
          </cell>
          <cell r="C16" t="str">
            <v>Fortuna</v>
          </cell>
          <cell r="D16" t="str">
            <v>FOR230</v>
          </cell>
          <cell r="E16">
            <v>2</v>
          </cell>
        </row>
        <row r="17">
          <cell r="A17">
            <v>6100</v>
          </cell>
          <cell r="B17">
            <v>230</v>
          </cell>
          <cell r="C17" t="str">
            <v>Bayano</v>
          </cell>
          <cell r="D17" t="str">
            <v>BAY230</v>
          </cell>
          <cell r="E17">
            <v>8</v>
          </cell>
        </row>
        <row r="18">
          <cell r="A18">
            <v>6167</v>
          </cell>
          <cell r="B18">
            <v>230</v>
          </cell>
          <cell r="C18" t="str">
            <v>Santa Rita</v>
          </cell>
          <cell r="D18" t="str">
            <v>STR230</v>
          </cell>
          <cell r="E18">
            <v>9</v>
          </cell>
        </row>
        <row r="19">
          <cell r="A19">
            <v>6170</v>
          </cell>
          <cell r="B19">
            <v>115</v>
          </cell>
          <cell r="C19" t="str">
            <v>Cemento Panamá</v>
          </cell>
          <cell r="D19" t="str">
            <v>CPA115</v>
          </cell>
          <cell r="E19">
            <v>9</v>
          </cell>
        </row>
        <row r="20">
          <cell r="A20">
            <v>6171</v>
          </cell>
          <cell r="B20">
            <v>230</v>
          </cell>
          <cell r="C20" t="str">
            <v>Pacora</v>
          </cell>
          <cell r="D20" t="str">
            <v>PAC230</v>
          </cell>
          <cell r="E20">
            <v>7</v>
          </cell>
        </row>
        <row r="21">
          <cell r="A21">
            <v>6173</v>
          </cell>
          <cell r="B21">
            <v>115</v>
          </cell>
          <cell r="C21" t="str">
            <v>Santa Rita</v>
          </cell>
          <cell r="D21" t="str">
            <v>STR115</v>
          </cell>
          <cell r="E21">
            <v>9</v>
          </cell>
        </row>
        <row r="22">
          <cell r="A22">
            <v>6179</v>
          </cell>
          <cell r="B22">
            <v>230</v>
          </cell>
          <cell r="C22" t="str">
            <v>Guasquitas</v>
          </cell>
          <cell r="D22" t="str">
            <v>GUA230</v>
          </cell>
          <cell r="E22">
            <v>2</v>
          </cell>
        </row>
        <row r="23">
          <cell r="A23">
            <v>6182</v>
          </cell>
          <cell r="B23">
            <v>230</v>
          </cell>
          <cell r="C23" t="str">
            <v>Veladero</v>
          </cell>
          <cell r="D23" t="str">
            <v>VEL230</v>
          </cell>
          <cell r="E23">
            <v>4</v>
          </cell>
        </row>
        <row r="24">
          <cell r="A24">
            <v>6240</v>
          </cell>
          <cell r="B24">
            <v>230</v>
          </cell>
          <cell r="C24" t="str">
            <v>El Higo</v>
          </cell>
          <cell r="D24" t="str">
            <v>EHIG230</v>
          </cell>
          <cell r="E24">
            <v>6</v>
          </cell>
        </row>
        <row r="25">
          <cell r="A25">
            <v>6260</v>
          </cell>
          <cell r="B25">
            <v>230</v>
          </cell>
          <cell r="C25" t="str">
            <v>Changuinola</v>
          </cell>
          <cell r="D25" t="str">
            <v>CHA230</v>
          </cell>
          <cell r="E25">
            <v>10</v>
          </cell>
        </row>
        <row r="26">
          <cell r="A26">
            <v>6263</v>
          </cell>
          <cell r="B26">
            <v>230</v>
          </cell>
          <cell r="C26" t="str">
            <v>La Esperanza</v>
          </cell>
          <cell r="D26" t="str">
            <v>ESP230</v>
          </cell>
          <cell r="E26">
            <v>10</v>
          </cell>
        </row>
        <row r="27">
          <cell r="A27">
            <v>6290</v>
          </cell>
          <cell r="B27">
            <v>115</v>
          </cell>
          <cell r="C27" t="str">
            <v>Cativá II</v>
          </cell>
          <cell r="D27" t="str">
            <v>CATII115</v>
          </cell>
          <cell r="E27">
            <v>9</v>
          </cell>
        </row>
        <row r="28">
          <cell r="A28">
            <v>6340</v>
          </cell>
          <cell r="B28">
            <v>230</v>
          </cell>
          <cell r="C28" t="str">
            <v>Cañazas</v>
          </cell>
          <cell r="D28" t="str">
            <v>CAN230</v>
          </cell>
          <cell r="E28">
            <v>10</v>
          </cell>
        </row>
        <row r="29">
          <cell r="A29">
            <v>6380</v>
          </cell>
          <cell r="B29">
            <v>230</v>
          </cell>
          <cell r="C29" t="str">
            <v>Boquerón III</v>
          </cell>
          <cell r="D29" t="str">
            <v>BOQIII230</v>
          </cell>
          <cell r="E29">
            <v>4</v>
          </cell>
        </row>
        <row r="30">
          <cell r="A30">
            <v>6405</v>
          </cell>
          <cell r="B30">
            <v>230</v>
          </cell>
          <cell r="C30" t="str">
            <v>Telfers</v>
          </cell>
          <cell r="D30" t="str">
            <v>TEL230</v>
          </cell>
          <cell r="E30">
            <v>9</v>
          </cell>
        </row>
        <row r="31">
          <cell r="A31">
            <v>6411</v>
          </cell>
          <cell r="B31">
            <v>230</v>
          </cell>
          <cell r="C31" t="str">
            <v>Los Olivos</v>
          </cell>
          <cell r="D31" t="str">
            <v>LOL230</v>
          </cell>
          <cell r="E31">
            <v>4</v>
          </cell>
        </row>
        <row r="32">
          <cell r="A32">
            <v>6460</v>
          </cell>
          <cell r="B32">
            <v>230</v>
          </cell>
          <cell r="C32" t="str">
            <v>El Coco</v>
          </cell>
          <cell r="D32" t="str">
            <v>ECO230</v>
          </cell>
          <cell r="E32">
            <v>5</v>
          </cell>
        </row>
        <row r="33">
          <cell r="A33">
            <v>6470</v>
          </cell>
          <cell r="B33">
            <v>230</v>
          </cell>
          <cell r="C33" t="str">
            <v>24 de Diciembre</v>
          </cell>
          <cell r="D33" t="str">
            <v>24DIC230</v>
          </cell>
          <cell r="E33">
            <v>7</v>
          </cell>
        </row>
        <row r="34">
          <cell r="A34">
            <v>6520</v>
          </cell>
          <cell r="B34">
            <v>230</v>
          </cell>
          <cell r="C34" t="str">
            <v>San Bartolo</v>
          </cell>
          <cell r="D34" t="str">
            <v>SBA230</v>
          </cell>
          <cell r="E34">
            <v>4</v>
          </cell>
        </row>
        <row r="35">
          <cell r="A35">
            <v>6515</v>
          </cell>
          <cell r="B35">
            <v>230</v>
          </cell>
          <cell r="C35" t="str">
            <v>Progreso II</v>
          </cell>
          <cell r="D35" t="str">
            <v>PRO2-230</v>
          </cell>
          <cell r="E35">
            <v>1</v>
          </cell>
        </row>
        <row r="36">
          <cell r="A36">
            <v>6550</v>
          </cell>
          <cell r="B36">
            <v>230</v>
          </cell>
          <cell r="C36" t="str">
            <v>Bella Vista</v>
          </cell>
          <cell r="D36" t="str">
            <v>BEV230</v>
          </cell>
          <cell r="E36">
            <v>4</v>
          </cell>
        </row>
        <row r="37">
          <cell r="A37">
            <v>6596</v>
          </cell>
          <cell r="B37">
            <v>230</v>
          </cell>
          <cell r="C37" t="str">
            <v>Santa Cruz</v>
          </cell>
          <cell r="D37" t="str">
            <v>SCR230</v>
          </cell>
          <cell r="E37">
            <v>5</v>
          </cell>
        </row>
        <row r="38">
          <cell r="A38">
            <v>6969</v>
          </cell>
          <cell r="B38">
            <v>230</v>
          </cell>
          <cell r="C38" t="str">
            <v xml:space="preserve">Santiago </v>
          </cell>
          <cell r="D38" t="str">
            <v>STG2A230</v>
          </cell>
          <cell r="E38">
            <v>4</v>
          </cell>
        </row>
        <row r="39">
          <cell r="A39">
            <v>6713</v>
          </cell>
          <cell r="B39">
            <v>230</v>
          </cell>
          <cell r="C39" t="str">
            <v>Burunga</v>
          </cell>
          <cell r="D39" t="str">
            <v>BUR230</v>
          </cell>
          <cell r="E39">
            <v>6</v>
          </cell>
        </row>
        <row r="40">
          <cell r="A40">
            <v>6801</v>
          </cell>
          <cell r="B40">
            <v>230</v>
          </cell>
          <cell r="C40" t="str">
            <v>Sabanitas</v>
          </cell>
          <cell r="D40" t="str">
            <v>SAB230</v>
          </cell>
          <cell r="E40">
            <v>9</v>
          </cell>
        </row>
        <row r="41">
          <cell r="A41">
            <v>6830</v>
          </cell>
          <cell r="B41">
            <v>230</v>
          </cell>
          <cell r="C41" t="str">
            <v>Antón</v>
          </cell>
          <cell r="D41" t="str">
            <v>ANT230</v>
          </cell>
          <cell r="E41">
            <v>6</v>
          </cell>
        </row>
        <row r="42">
          <cell r="A42">
            <v>6840</v>
          </cell>
          <cell r="B42">
            <v>230</v>
          </cell>
          <cell r="C42" t="str">
            <v>Panamá III</v>
          </cell>
          <cell r="D42" t="str">
            <v>PAN3 230</v>
          </cell>
          <cell r="E42">
            <v>7</v>
          </cell>
        </row>
        <row r="43">
          <cell r="A43">
            <v>6861</v>
          </cell>
          <cell r="B43">
            <v>230</v>
          </cell>
          <cell r="C43" t="str">
            <v>Chepo</v>
          </cell>
          <cell r="D43" t="str">
            <v>CHE230</v>
          </cell>
          <cell r="E43">
            <v>8</v>
          </cell>
        </row>
        <row r="44">
          <cell r="A44">
            <v>6885</v>
          </cell>
          <cell r="B44">
            <v>230</v>
          </cell>
          <cell r="C44" t="str">
            <v>La Huaca</v>
          </cell>
          <cell r="D44" t="str">
            <v>LHU230</v>
          </cell>
          <cell r="E44">
            <v>4</v>
          </cell>
        </row>
        <row r="45">
          <cell r="A45">
            <v>7000</v>
          </cell>
          <cell r="C45" t="str">
            <v>T1-Panama</v>
          </cell>
          <cell r="D45" t="str">
            <v>T1-PAN</v>
          </cell>
          <cell r="E45">
            <v>7</v>
          </cell>
        </row>
        <row r="46">
          <cell r="A46">
            <v>7001</v>
          </cell>
          <cell r="C46" t="str">
            <v>T2-Panama</v>
          </cell>
          <cell r="D46" t="str">
            <v>T2-PAN</v>
          </cell>
          <cell r="E46">
            <v>7</v>
          </cell>
        </row>
        <row r="47">
          <cell r="A47">
            <v>7002</v>
          </cell>
          <cell r="C47" t="str">
            <v>T3-Panama</v>
          </cell>
          <cell r="D47" t="str">
            <v>T3-PAN</v>
          </cell>
          <cell r="E47">
            <v>7</v>
          </cell>
        </row>
        <row r="48">
          <cell r="A48">
            <v>7003</v>
          </cell>
          <cell r="C48" t="str">
            <v>T5-Panama</v>
          </cell>
          <cell r="D48" t="str">
            <v>T5-PAN</v>
          </cell>
          <cell r="E48">
            <v>7</v>
          </cell>
        </row>
        <row r="49">
          <cell r="A49">
            <v>7013</v>
          </cell>
          <cell r="C49" t="str">
            <v>T1-Mata de Nance</v>
          </cell>
          <cell r="D49" t="str">
            <v>T1-MDN</v>
          </cell>
          <cell r="E49">
            <v>4</v>
          </cell>
        </row>
        <row r="50">
          <cell r="A50">
            <v>7014</v>
          </cell>
          <cell r="C50" t="str">
            <v>T2-Mata de Nance</v>
          </cell>
          <cell r="D50" t="str">
            <v>T2-MDN</v>
          </cell>
          <cell r="E50">
            <v>4</v>
          </cell>
        </row>
        <row r="51">
          <cell r="A51">
            <v>7015</v>
          </cell>
          <cell r="C51" t="str">
            <v>T3-Mata de Nance</v>
          </cell>
          <cell r="D51" t="str">
            <v>T3-MDN</v>
          </cell>
          <cell r="E51">
            <v>4</v>
          </cell>
        </row>
        <row r="52">
          <cell r="A52">
            <v>7016</v>
          </cell>
          <cell r="C52" t="str">
            <v>T1-Changuinola</v>
          </cell>
          <cell r="D52" t="str">
            <v>T1-CHA</v>
          </cell>
          <cell r="E52">
            <v>10</v>
          </cell>
        </row>
        <row r="53">
          <cell r="A53">
            <v>7017</v>
          </cell>
          <cell r="C53" t="str">
            <v>T2-Changuinola</v>
          </cell>
          <cell r="D53" t="str">
            <v>T2-CHA</v>
          </cell>
          <cell r="E53">
            <v>10</v>
          </cell>
        </row>
      </sheetData>
      <sheetData sheetId="2">
        <row r="2">
          <cell r="C2">
            <v>230</v>
          </cell>
          <cell r="F2" t="str">
            <v>S</v>
          </cell>
          <cell r="G2">
            <v>13.09</v>
          </cell>
        </row>
        <row r="3">
          <cell r="C3">
            <v>230</v>
          </cell>
          <cell r="F3" t="str">
            <v>S</v>
          </cell>
          <cell r="G3">
            <v>13.09</v>
          </cell>
        </row>
        <row r="4">
          <cell r="C4">
            <v>230</v>
          </cell>
          <cell r="F4" t="str">
            <v>S</v>
          </cell>
          <cell r="G4">
            <v>40.479999999999997</v>
          </cell>
        </row>
        <row r="5">
          <cell r="C5">
            <v>230</v>
          </cell>
          <cell r="F5" t="str">
            <v>S</v>
          </cell>
          <cell r="G5">
            <v>3.18</v>
          </cell>
        </row>
        <row r="6">
          <cell r="C6">
            <v>230</v>
          </cell>
          <cell r="F6" t="str">
            <v>S</v>
          </cell>
          <cell r="G6">
            <v>3.18</v>
          </cell>
        </row>
        <row r="7">
          <cell r="C7">
            <v>230</v>
          </cell>
          <cell r="F7" t="str">
            <v>S</v>
          </cell>
          <cell r="G7">
            <v>40.479999999999997</v>
          </cell>
        </row>
        <row r="8">
          <cell r="C8" t="str">
            <v>TX</v>
          </cell>
          <cell r="F8" t="str">
            <v>S</v>
          </cell>
        </row>
        <row r="9">
          <cell r="C9" t="str">
            <v>TX</v>
          </cell>
          <cell r="F9" t="str">
            <v>S</v>
          </cell>
        </row>
        <row r="10">
          <cell r="C10" t="str">
            <v>TX</v>
          </cell>
          <cell r="F10" t="str">
            <v>S</v>
          </cell>
        </row>
        <row r="11">
          <cell r="C11" t="str">
            <v>TX</v>
          </cell>
          <cell r="F11" t="str">
            <v>S</v>
          </cell>
        </row>
        <row r="12">
          <cell r="C12">
            <v>115</v>
          </cell>
          <cell r="F12" t="str">
            <v>S</v>
          </cell>
          <cell r="G12">
            <v>0.81</v>
          </cell>
        </row>
        <row r="13">
          <cell r="C13">
            <v>115</v>
          </cell>
          <cell r="F13" t="str">
            <v>S</v>
          </cell>
          <cell r="G13">
            <v>0.81</v>
          </cell>
        </row>
        <row r="14">
          <cell r="C14">
            <v>115</v>
          </cell>
          <cell r="F14" t="str">
            <v>S</v>
          </cell>
          <cell r="G14">
            <v>0.81</v>
          </cell>
        </row>
        <row r="15">
          <cell r="C15">
            <v>115</v>
          </cell>
          <cell r="F15" t="str">
            <v>S</v>
          </cell>
          <cell r="G15">
            <v>22.85</v>
          </cell>
        </row>
        <row r="16">
          <cell r="C16">
            <v>115</v>
          </cell>
          <cell r="F16" t="str">
            <v>S</v>
          </cell>
          <cell r="G16">
            <v>31.18</v>
          </cell>
        </row>
        <row r="17">
          <cell r="C17" t="str">
            <v>TX</v>
          </cell>
          <cell r="F17" t="str">
            <v>S</v>
          </cell>
        </row>
        <row r="18">
          <cell r="C18" t="str">
            <v>TX</v>
          </cell>
          <cell r="F18" t="str">
            <v>S</v>
          </cell>
        </row>
        <row r="19">
          <cell r="C19" t="str">
            <v>TX</v>
          </cell>
          <cell r="F19" t="str">
            <v>S</v>
          </cell>
        </row>
        <row r="20">
          <cell r="C20" t="str">
            <v>TX</v>
          </cell>
          <cell r="F20" t="str">
            <v>S</v>
          </cell>
        </row>
        <row r="21">
          <cell r="C21">
            <v>230</v>
          </cell>
          <cell r="F21" t="str">
            <v>S</v>
          </cell>
          <cell r="G21">
            <v>19.010000000000002</v>
          </cell>
        </row>
        <row r="22">
          <cell r="C22">
            <v>230</v>
          </cell>
          <cell r="F22" t="str">
            <v>S</v>
          </cell>
          <cell r="G22">
            <v>10.67</v>
          </cell>
        </row>
        <row r="23">
          <cell r="C23">
            <v>230</v>
          </cell>
          <cell r="F23" t="str">
            <v>S</v>
          </cell>
          <cell r="G23">
            <v>14.55</v>
          </cell>
        </row>
        <row r="24">
          <cell r="C24">
            <v>230</v>
          </cell>
          <cell r="F24" t="str">
            <v>S</v>
          </cell>
          <cell r="G24">
            <v>14.55</v>
          </cell>
        </row>
        <row r="25">
          <cell r="C25">
            <v>230</v>
          </cell>
          <cell r="F25" t="str">
            <v>S</v>
          </cell>
          <cell r="G25">
            <v>50.85</v>
          </cell>
        </row>
        <row r="26">
          <cell r="C26">
            <v>230</v>
          </cell>
          <cell r="F26" t="str">
            <v>S</v>
          </cell>
          <cell r="G26">
            <v>50.85</v>
          </cell>
        </row>
        <row r="27">
          <cell r="C27">
            <v>230</v>
          </cell>
          <cell r="F27" t="str">
            <v>S</v>
          </cell>
          <cell r="G27">
            <v>60.81</v>
          </cell>
        </row>
        <row r="28">
          <cell r="C28">
            <v>230</v>
          </cell>
          <cell r="F28" t="str">
            <v>S</v>
          </cell>
          <cell r="G28">
            <v>60.81</v>
          </cell>
        </row>
        <row r="29">
          <cell r="C29">
            <v>230</v>
          </cell>
          <cell r="F29" t="str">
            <v>S</v>
          </cell>
          <cell r="G29">
            <v>95.2</v>
          </cell>
        </row>
        <row r="30">
          <cell r="C30">
            <v>230</v>
          </cell>
          <cell r="F30" t="str">
            <v>S</v>
          </cell>
          <cell r="G30">
            <v>34.89</v>
          </cell>
        </row>
        <row r="31">
          <cell r="C31">
            <v>230</v>
          </cell>
          <cell r="F31" t="str">
            <v>S</v>
          </cell>
          <cell r="G31">
            <v>34.89</v>
          </cell>
        </row>
        <row r="32">
          <cell r="C32">
            <v>230</v>
          </cell>
          <cell r="F32" t="str">
            <v>S</v>
          </cell>
          <cell r="G32">
            <v>120.19</v>
          </cell>
        </row>
        <row r="33">
          <cell r="C33">
            <v>230</v>
          </cell>
          <cell r="F33" t="str">
            <v>S</v>
          </cell>
          <cell r="G33">
            <v>111.38</v>
          </cell>
        </row>
        <row r="34">
          <cell r="C34">
            <v>230</v>
          </cell>
          <cell r="F34" t="str">
            <v>S</v>
          </cell>
          <cell r="G34">
            <v>111.38</v>
          </cell>
        </row>
        <row r="35">
          <cell r="C35">
            <v>230</v>
          </cell>
          <cell r="F35" t="str">
            <v>S</v>
          </cell>
          <cell r="G35">
            <v>81.93</v>
          </cell>
        </row>
        <row r="36">
          <cell r="C36">
            <v>230</v>
          </cell>
          <cell r="F36" t="str">
            <v>S</v>
          </cell>
          <cell r="G36">
            <v>81.93</v>
          </cell>
        </row>
        <row r="37">
          <cell r="C37">
            <v>230</v>
          </cell>
          <cell r="F37" t="str">
            <v>S</v>
          </cell>
          <cell r="G37">
            <v>44.65</v>
          </cell>
        </row>
        <row r="38">
          <cell r="C38">
            <v>230</v>
          </cell>
          <cell r="F38" t="str">
            <v>S</v>
          </cell>
          <cell r="G38">
            <v>44.65</v>
          </cell>
        </row>
        <row r="39">
          <cell r="C39">
            <v>230</v>
          </cell>
          <cell r="F39" t="str">
            <v>S</v>
          </cell>
          <cell r="G39">
            <v>68.2</v>
          </cell>
        </row>
        <row r="40">
          <cell r="C40">
            <v>230</v>
          </cell>
          <cell r="F40" t="str">
            <v>S</v>
          </cell>
          <cell r="G40">
            <v>68.2</v>
          </cell>
        </row>
        <row r="41">
          <cell r="C41">
            <v>230</v>
          </cell>
          <cell r="F41" t="str">
            <v>S</v>
          </cell>
          <cell r="G41">
            <v>107.97</v>
          </cell>
        </row>
        <row r="42">
          <cell r="C42">
            <v>230</v>
          </cell>
          <cell r="F42" t="str">
            <v>S</v>
          </cell>
          <cell r="G42">
            <v>36</v>
          </cell>
        </row>
        <row r="43">
          <cell r="C43">
            <v>230</v>
          </cell>
          <cell r="F43" t="str">
            <v>S</v>
          </cell>
          <cell r="G43">
            <v>36</v>
          </cell>
        </row>
        <row r="44">
          <cell r="C44">
            <v>230</v>
          </cell>
          <cell r="F44" t="str">
            <v>S</v>
          </cell>
          <cell r="G44">
            <v>35.78</v>
          </cell>
        </row>
        <row r="45">
          <cell r="C45">
            <v>230</v>
          </cell>
          <cell r="F45" t="str">
            <v>S</v>
          </cell>
          <cell r="G45">
            <v>7</v>
          </cell>
        </row>
        <row r="46">
          <cell r="C46">
            <v>230</v>
          </cell>
          <cell r="F46" t="str">
            <v>S</v>
          </cell>
          <cell r="G46">
            <v>7</v>
          </cell>
        </row>
        <row r="47">
          <cell r="C47">
            <v>230</v>
          </cell>
          <cell r="F47" t="str">
            <v>S</v>
          </cell>
          <cell r="G47">
            <v>37.72</v>
          </cell>
        </row>
        <row r="48">
          <cell r="C48">
            <v>230</v>
          </cell>
          <cell r="F48" t="str">
            <v>S</v>
          </cell>
          <cell r="G48">
            <v>37.72</v>
          </cell>
        </row>
        <row r="49">
          <cell r="C49">
            <v>230</v>
          </cell>
          <cell r="F49" t="str">
            <v>S</v>
          </cell>
          <cell r="G49">
            <v>85.6</v>
          </cell>
        </row>
        <row r="50">
          <cell r="C50">
            <v>230</v>
          </cell>
          <cell r="F50" t="str">
            <v>S</v>
          </cell>
          <cell r="G50">
            <v>85.6</v>
          </cell>
        </row>
        <row r="51">
          <cell r="C51">
            <v>230</v>
          </cell>
          <cell r="F51" t="str">
            <v>S</v>
          </cell>
          <cell r="G51">
            <v>85.6</v>
          </cell>
        </row>
        <row r="52">
          <cell r="C52">
            <v>230</v>
          </cell>
          <cell r="F52" t="str">
            <v>S</v>
          </cell>
          <cell r="G52">
            <v>85.6</v>
          </cell>
        </row>
        <row r="53">
          <cell r="C53">
            <v>230</v>
          </cell>
          <cell r="F53" t="str">
            <v>S</v>
          </cell>
          <cell r="G53">
            <v>24.17</v>
          </cell>
        </row>
        <row r="54">
          <cell r="C54" t="str">
            <v>TX</v>
          </cell>
          <cell r="F54" t="str">
            <v>S</v>
          </cell>
        </row>
        <row r="55">
          <cell r="C55" t="str">
            <v>TX</v>
          </cell>
          <cell r="F55" t="str">
            <v>S</v>
          </cell>
        </row>
        <row r="56">
          <cell r="C56" t="str">
            <v>TX</v>
          </cell>
          <cell r="F56" t="str">
            <v>S</v>
          </cell>
        </row>
        <row r="57">
          <cell r="C57">
            <v>115</v>
          </cell>
          <cell r="F57" t="str">
            <v>S</v>
          </cell>
          <cell r="G57">
            <v>25.32</v>
          </cell>
        </row>
        <row r="58">
          <cell r="C58">
            <v>115</v>
          </cell>
          <cell r="F58" t="str">
            <v>S</v>
          </cell>
          <cell r="G58">
            <v>25.32</v>
          </cell>
        </row>
        <row r="59">
          <cell r="C59" t="str">
            <v>TX</v>
          </cell>
          <cell r="F59" t="str">
            <v>S</v>
          </cell>
        </row>
        <row r="60">
          <cell r="C60" t="str">
            <v>TX</v>
          </cell>
          <cell r="F60" t="str">
            <v>S</v>
          </cell>
        </row>
        <row r="61">
          <cell r="C61" t="str">
            <v>TX</v>
          </cell>
          <cell r="F61" t="str">
            <v>S</v>
          </cell>
        </row>
        <row r="62">
          <cell r="C62" t="str">
            <v>TX</v>
          </cell>
          <cell r="F62" t="str">
            <v>S</v>
          </cell>
        </row>
        <row r="63">
          <cell r="C63" t="str">
            <v>TX</v>
          </cell>
          <cell r="F63" t="str">
            <v>S</v>
          </cell>
        </row>
        <row r="64">
          <cell r="C64" t="str">
            <v>TX</v>
          </cell>
          <cell r="F64" t="str">
            <v>S</v>
          </cell>
        </row>
        <row r="65">
          <cell r="C65">
            <v>230</v>
          </cell>
          <cell r="F65" t="str">
            <v>S</v>
          </cell>
          <cell r="G65">
            <v>29.95</v>
          </cell>
        </row>
        <row r="66">
          <cell r="C66">
            <v>230</v>
          </cell>
          <cell r="F66" t="str">
            <v>S</v>
          </cell>
          <cell r="G66">
            <v>54.12</v>
          </cell>
        </row>
        <row r="67">
          <cell r="C67">
            <v>230</v>
          </cell>
          <cell r="F67" t="str">
            <v>S</v>
          </cell>
          <cell r="G67">
            <v>0.1</v>
          </cell>
        </row>
        <row r="68">
          <cell r="C68">
            <v>230</v>
          </cell>
          <cell r="F68" t="str">
            <v>S</v>
          </cell>
          <cell r="G68">
            <v>0.1</v>
          </cell>
        </row>
        <row r="69">
          <cell r="C69">
            <v>115</v>
          </cell>
          <cell r="F69" t="str">
            <v>S</v>
          </cell>
          <cell r="G69">
            <v>47.81</v>
          </cell>
        </row>
        <row r="70">
          <cell r="C70">
            <v>115</v>
          </cell>
          <cell r="F70" t="str">
            <v>S</v>
          </cell>
          <cell r="G70">
            <v>47.81</v>
          </cell>
        </row>
        <row r="71">
          <cell r="C71">
            <v>115</v>
          </cell>
          <cell r="F71" t="str">
            <v>S</v>
          </cell>
          <cell r="G71">
            <v>32.08</v>
          </cell>
        </row>
        <row r="72">
          <cell r="C72">
            <v>115</v>
          </cell>
          <cell r="F72" t="str">
            <v>S</v>
          </cell>
          <cell r="G72">
            <v>6.9</v>
          </cell>
        </row>
        <row r="73">
          <cell r="C73">
            <v>115</v>
          </cell>
          <cell r="F73" t="str">
            <v>S</v>
          </cell>
          <cell r="G73">
            <v>0.96</v>
          </cell>
        </row>
        <row r="74">
          <cell r="C74">
            <v>115</v>
          </cell>
          <cell r="F74" t="str">
            <v>S</v>
          </cell>
          <cell r="G74">
            <v>25.41</v>
          </cell>
        </row>
        <row r="75">
          <cell r="C75">
            <v>230</v>
          </cell>
          <cell r="F75" t="str">
            <v>S</v>
          </cell>
          <cell r="G75">
            <v>16.399999999999999</v>
          </cell>
        </row>
        <row r="76">
          <cell r="C76">
            <v>230</v>
          </cell>
          <cell r="F76" t="str">
            <v>S</v>
          </cell>
          <cell r="G76">
            <v>97.4</v>
          </cell>
        </row>
        <row r="77">
          <cell r="C77">
            <v>230</v>
          </cell>
          <cell r="F77" t="str">
            <v>S</v>
          </cell>
          <cell r="G77">
            <v>50.88</v>
          </cell>
        </row>
        <row r="78">
          <cell r="C78">
            <v>230</v>
          </cell>
          <cell r="F78" t="str">
            <v>S</v>
          </cell>
          <cell r="G78">
            <v>60.53</v>
          </cell>
        </row>
        <row r="79">
          <cell r="C79">
            <v>230</v>
          </cell>
          <cell r="F79" t="str">
            <v>S</v>
          </cell>
          <cell r="G79">
            <v>24.5</v>
          </cell>
        </row>
        <row r="80">
          <cell r="C80">
            <v>230</v>
          </cell>
          <cell r="F80" t="str">
            <v>S</v>
          </cell>
          <cell r="G80">
            <v>24.5</v>
          </cell>
        </row>
        <row r="81">
          <cell r="C81">
            <v>230</v>
          </cell>
          <cell r="F81" t="str">
            <v>S</v>
          </cell>
          <cell r="G81">
            <v>25.37</v>
          </cell>
        </row>
        <row r="82">
          <cell r="C82">
            <v>115</v>
          </cell>
          <cell r="F82" t="str">
            <v>S</v>
          </cell>
          <cell r="G82">
            <v>6.69</v>
          </cell>
        </row>
        <row r="83">
          <cell r="C83">
            <v>230</v>
          </cell>
          <cell r="F83" t="str">
            <v>S</v>
          </cell>
          <cell r="G83">
            <v>84.81</v>
          </cell>
        </row>
        <row r="84">
          <cell r="C84">
            <v>230</v>
          </cell>
          <cell r="F84" t="str">
            <v>S</v>
          </cell>
          <cell r="G84">
            <v>84.81</v>
          </cell>
        </row>
        <row r="85">
          <cell r="C85">
            <v>230</v>
          </cell>
          <cell r="F85" t="str">
            <v>S</v>
          </cell>
          <cell r="G85">
            <v>42.89</v>
          </cell>
        </row>
        <row r="86">
          <cell r="C86">
            <v>230</v>
          </cell>
          <cell r="F86" t="str">
            <v>S</v>
          </cell>
          <cell r="G86">
            <v>42.89</v>
          </cell>
        </row>
        <row r="87">
          <cell r="C87">
            <v>230</v>
          </cell>
          <cell r="F87" t="str">
            <v>S</v>
          </cell>
          <cell r="G87">
            <v>8.66</v>
          </cell>
        </row>
        <row r="88">
          <cell r="C88">
            <v>230</v>
          </cell>
          <cell r="F88" t="str">
            <v>S</v>
          </cell>
          <cell r="G88">
            <v>74.87</v>
          </cell>
        </row>
        <row r="89">
          <cell r="C89">
            <v>230</v>
          </cell>
          <cell r="F89" t="str">
            <v>S</v>
          </cell>
          <cell r="G89">
            <v>8.66</v>
          </cell>
        </row>
        <row r="90">
          <cell r="C90">
            <v>230</v>
          </cell>
          <cell r="F90" t="str">
            <v>S</v>
          </cell>
          <cell r="G90">
            <v>74.87</v>
          </cell>
        </row>
        <row r="91">
          <cell r="C91">
            <v>230</v>
          </cell>
          <cell r="F91" t="str">
            <v>S</v>
          </cell>
          <cell r="G91">
            <v>24.66</v>
          </cell>
        </row>
        <row r="92">
          <cell r="C92">
            <v>230</v>
          </cell>
          <cell r="F92" t="str">
            <v>S</v>
          </cell>
          <cell r="G92">
            <v>78.38</v>
          </cell>
        </row>
        <row r="93">
          <cell r="C93">
            <v>230</v>
          </cell>
          <cell r="F93" t="str">
            <v>S</v>
          </cell>
          <cell r="G93">
            <v>45.57</v>
          </cell>
        </row>
        <row r="94">
          <cell r="C94">
            <v>230</v>
          </cell>
          <cell r="F94" t="str">
            <v>S</v>
          </cell>
          <cell r="G94">
            <v>117.22</v>
          </cell>
        </row>
        <row r="95">
          <cell r="C95">
            <v>230</v>
          </cell>
          <cell r="F95" t="str">
            <v>S</v>
          </cell>
          <cell r="G95">
            <v>117.22</v>
          </cell>
        </row>
        <row r="96">
          <cell r="C96">
            <v>230</v>
          </cell>
          <cell r="F96" t="str">
            <v>S</v>
          </cell>
          <cell r="G96">
            <v>35.24</v>
          </cell>
        </row>
        <row r="97">
          <cell r="C97">
            <v>230</v>
          </cell>
          <cell r="F97" t="str">
            <v>S</v>
          </cell>
          <cell r="G97">
            <v>24.99</v>
          </cell>
        </row>
        <row r="98">
          <cell r="C98">
            <v>230</v>
          </cell>
          <cell r="F98" t="str">
            <v>S</v>
          </cell>
          <cell r="G98">
            <v>19.399999999999999</v>
          </cell>
        </row>
        <row r="99">
          <cell r="C99">
            <v>230</v>
          </cell>
          <cell r="F99" t="str">
            <v>S</v>
          </cell>
          <cell r="G99">
            <v>19.399999999999999</v>
          </cell>
        </row>
        <row r="100">
          <cell r="C100">
            <v>230</v>
          </cell>
          <cell r="F100" t="str">
            <v>S</v>
          </cell>
          <cell r="G100">
            <v>45.69</v>
          </cell>
        </row>
        <row r="101">
          <cell r="C101">
            <v>230</v>
          </cell>
          <cell r="F101" t="str">
            <v>S</v>
          </cell>
          <cell r="G101">
            <v>45.69</v>
          </cell>
        </row>
        <row r="102">
          <cell r="C102">
            <v>230</v>
          </cell>
          <cell r="F102" t="str">
            <v>S</v>
          </cell>
          <cell r="G102">
            <v>16</v>
          </cell>
        </row>
        <row r="103">
          <cell r="C103">
            <v>230</v>
          </cell>
          <cell r="F103" t="str">
            <v>S</v>
          </cell>
          <cell r="G103">
            <v>16</v>
          </cell>
        </row>
        <row r="104">
          <cell r="C104">
            <v>230</v>
          </cell>
          <cell r="F104" t="str">
            <v>S</v>
          </cell>
        </row>
        <row r="105">
          <cell r="C105">
            <v>230</v>
          </cell>
          <cell r="F105" t="str">
            <v>S</v>
          </cell>
        </row>
        <row r="106">
          <cell r="C106">
            <v>230</v>
          </cell>
          <cell r="F106" t="str">
            <v>S</v>
          </cell>
          <cell r="G106">
            <v>2.1</v>
          </cell>
        </row>
        <row r="107">
          <cell r="C107">
            <v>230</v>
          </cell>
          <cell r="F107" t="str">
            <v>S</v>
          </cell>
          <cell r="G107">
            <v>2.1</v>
          </cell>
        </row>
        <row r="108">
          <cell r="C108">
            <v>230</v>
          </cell>
          <cell r="F108" t="str">
            <v>S</v>
          </cell>
          <cell r="G108">
            <v>100.97</v>
          </cell>
        </row>
        <row r="109">
          <cell r="C109">
            <v>230</v>
          </cell>
          <cell r="F109" t="str">
            <v>S</v>
          </cell>
          <cell r="G109">
            <v>28.78</v>
          </cell>
        </row>
        <row r="110">
          <cell r="C110">
            <v>230</v>
          </cell>
          <cell r="F110" t="str">
            <v>S</v>
          </cell>
          <cell r="G110">
            <v>40</v>
          </cell>
        </row>
        <row r="111">
          <cell r="C111">
            <v>230</v>
          </cell>
          <cell r="F111" t="str">
            <v>S</v>
          </cell>
          <cell r="G111">
            <v>40</v>
          </cell>
        </row>
      </sheetData>
      <sheetData sheetId="3"/>
      <sheetData sheetId="4"/>
      <sheetData sheetId="5">
        <row r="2">
          <cell r="L2">
            <v>0</v>
          </cell>
        </row>
        <row r="17">
          <cell r="L17">
            <v>0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1-2008Contraloría Historico"/>
      <sheetName val="2001-08Contraloría Estruc. Hist"/>
      <sheetName val="PIB Estructural TRIM 2005-09"/>
      <sheetName val="Pronosticos Publicados 2009-10 "/>
      <sheetName val="PIB Mundial vs Panama"/>
      <sheetName val="PIB 2009 Estimado "/>
      <sheetName val="PIB 2009, tres metodologías (M)"/>
      <sheetName val="PIB Estructural 2009 Esti  (M)"/>
      <sheetName val="Variacion PIB por Act 2001-08"/>
      <sheetName val="Analisis IMAE 2008"/>
      <sheetName val="Analisis IMAE 2008 Anexo"/>
      <sheetName val="PIB Estructural II Trim 2009 "/>
      <sheetName val="Impuestos Netos"/>
      <sheetName val="PIB Estructural III Trim 2008 "/>
      <sheetName val="PIB Estructural III Trim2008Mod"/>
      <sheetName val="Var.  Estructural 2010  Mod"/>
      <sheetName val="PIB Estructural 2010 Estima 09 "/>
      <sheetName val="PIB Estructural 2010 Estima (2)"/>
      <sheetName val="Variacion PIB- Esc. Exp. Canal"/>
      <sheetName val="Tasas PIB INTRACORP"/>
      <sheetName val="Comp.Tasas PIB INTRACORP- Real "/>
      <sheetName val="Tasas PIB INTRACORP (2)"/>
      <sheetName val="Premisas Escenarios"/>
      <sheetName val="Estimacion PIB 2010-2024"/>
      <sheetName val="Pronosticos 2010-24 %"/>
      <sheetName val="Estimacion PIB 2010-2024 (2)"/>
      <sheetName val="Pronosticos 2010-24 % (2)"/>
      <sheetName val="Estimacion PIB 2010-2024 (3)"/>
      <sheetName val="Hoja5"/>
      <sheetName val="Hoja1"/>
      <sheetName val="Pronosticos 2010-24 % (3)"/>
      <sheetName val="Gráfico TASAS 2009-2024"/>
      <sheetName val="Tasas PIB INTRACORP (3)"/>
      <sheetName val="Empalme de Bases 96-82"/>
      <sheetName val="Empalme de Bases 96-82 (2)"/>
      <sheetName val="Hoja2"/>
      <sheetName val="Mat.  Cons.  2002-2006"/>
      <sheetName val="Produccion fisica Man 2002-06"/>
      <sheetName val="Carac.Consumo Sector Ind."/>
      <sheetName val="Evalua Estimado 2006"/>
      <sheetName val="industria-Algunos indicadores"/>
      <sheetName val="PIB MANUFACTURA"/>
      <sheetName val="Est. PIB MANUFACTURA ACP1996Mod"/>
      <sheetName val="Est. PIB MANUFACTURA ACP1996Mo2"/>
      <sheetName val="Est. PIB MANUFACTURA EMPALMEMod"/>
      <sheetName val="Hoja3"/>
    </sheetNames>
    <sheetDataSet>
      <sheetData sheetId="0">
        <row r="13">
          <cell r="D13">
            <v>588.29999999999995</v>
          </cell>
        </row>
      </sheetData>
      <sheetData sheetId="1"/>
      <sheetData sheetId="2">
        <row r="11">
          <cell r="AD11">
            <v>-0.12450884086444014</v>
          </cell>
        </row>
      </sheetData>
      <sheetData sheetId="3">
        <row r="41">
          <cell r="AH41">
            <v>6.5</v>
          </cell>
        </row>
      </sheetData>
      <sheetData sheetId="4"/>
      <sheetData sheetId="5"/>
      <sheetData sheetId="6">
        <row r="7">
          <cell r="AG7">
            <v>2.8234922146866938E-2</v>
          </cell>
        </row>
      </sheetData>
      <sheetData sheetId="7"/>
      <sheetData sheetId="8"/>
      <sheetData sheetId="9"/>
      <sheetData sheetId="10"/>
      <sheetData sheetId="11">
        <row r="12">
          <cell r="L12">
            <v>628.56387938206308</v>
          </cell>
        </row>
      </sheetData>
      <sheetData sheetId="12">
        <row r="27">
          <cell r="N27">
            <v>0.30833039181080124</v>
          </cell>
        </row>
      </sheetData>
      <sheetData sheetId="13">
        <row r="12">
          <cell r="L12">
            <v>3.9071116992456238E-2</v>
          </cell>
        </row>
      </sheetData>
      <sheetData sheetId="14"/>
      <sheetData sheetId="15"/>
      <sheetData sheetId="16">
        <row r="42">
          <cell r="K42">
            <v>20553.983233636332</v>
          </cell>
        </row>
      </sheetData>
      <sheetData sheetId="17">
        <row r="17">
          <cell r="K17">
            <v>1177.7581370070111</v>
          </cell>
        </row>
      </sheetData>
      <sheetData sheetId="18"/>
      <sheetData sheetId="19">
        <row r="19">
          <cell r="F19">
            <v>2.3443464982300322</v>
          </cell>
        </row>
      </sheetData>
      <sheetData sheetId="20"/>
      <sheetData sheetId="21"/>
      <sheetData sheetId="22"/>
      <sheetData sheetId="23">
        <row r="19">
          <cell r="L19">
            <v>1.7827949547141397E-2</v>
          </cell>
        </row>
      </sheetData>
      <sheetData sheetId="24"/>
      <sheetData sheetId="25"/>
      <sheetData sheetId="26"/>
      <sheetData sheetId="27">
        <row r="17">
          <cell r="L17">
            <v>19411.451970000002</v>
          </cell>
        </row>
      </sheetData>
      <sheetData sheetId="28"/>
      <sheetData sheetId="29"/>
      <sheetData sheetId="30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Nod"/>
      <sheetName val="Ram"/>
      <sheetName val="%USO"/>
      <sheetName val="Dias"/>
      <sheetName val="ENERGIA"/>
      <sheetName val="ENSA"/>
      <sheetName val="1. DatosFijos"/>
    </sheetNames>
    <sheetDataSet>
      <sheetData sheetId="0">
        <row r="1">
          <cell r="B1">
            <v>4</v>
          </cell>
          <cell r="C1" t="str">
            <v>2028-2029</v>
          </cell>
        </row>
        <row r="3">
          <cell r="B3">
            <v>122359.0729339665</v>
          </cell>
          <cell r="D3">
            <v>3407.1499999999996</v>
          </cell>
        </row>
        <row r="4">
          <cell r="B4">
            <v>104647.59635209976</v>
          </cell>
          <cell r="D4">
            <v>3132.3899999999994</v>
          </cell>
          <cell r="F4">
            <v>33.408227057326762</v>
          </cell>
        </row>
        <row r="5">
          <cell r="B5">
            <v>17711.476581866733</v>
          </cell>
          <cell r="D5">
            <v>274.76000000000005</v>
          </cell>
          <cell r="F5">
            <v>64.461626808366319</v>
          </cell>
        </row>
        <row r="7">
          <cell r="C7">
            <v>1</v>
          </cell>
          <cell r="D7">
            <v>0</v>
          </cell>
          <cell r="E7">
            <v>1</v>
          </cell>
          <cell r="F7">
            <v>0</v>
          </cell>
          <cell r="G7" t="str">
            <v>(230 kV)</v>
          </cell>
        </row>
        <row r="11">
          <cell r="B11">
            <v>381.78000000000003</v>
          </cell>
          <cell r="C11">
            <v>548.68000000000006</v>
          </cell>
          <cell r="D11">
            <v>194.10000000000005</v>
          </cell>
          <cell r="E11">
            <v>857.84999999999968</v>
          </cell>
          <cell r="F11">
            <v>806.46999999999991</v>
          </cell>
          <cell r="G11">
            <v>451.46</v>
          </cell>
          <cell r="H11">
            <v>153.13999999999999</v>
          </cell>
          <cell r="I11">
            <v>260</v>
          </cell>
          <cell r="J11">
            <v>1376.25</v>
          </cell>
          <cell r="K11">
            <v>254.8</v>
          </cell>
        </row>
        <row r="12">
          <cell r="B12">
            <v>28.91</v>
          </cell>
          <cell r="C12">
            <v>0</v>
          </cell>
          <cell r="D12">
            <v>0.09</v>
          </cell>
          <cell r="E12">
            <v>144.69999999999999</v>
          </cell>
          <cell r="F12">
            <v>225.22</v>
          </cell>
          <cell r="G12">
            <v>295.17999999999995</v>
          </cell>
          <cell r="H12">
            <v>1084.07</v>
          </cell>
          <cell r="I12">
            <v>1.9</v>
          </cell>
          <cell r="J12">
            <v>158.94999999999999</v>
          </cell>
          <cell r="K12">
            <v>58.54</v>
          </cell>
        </row>
      </sheetData>
      <sheetData sheetId="1">
        <row r="3">
          <cell r="A3">
            <v>6002</v>
          </cell>
          <cell r="B3">
            <v>115</v>
          </cell>
          <cell r="C3" t="str">
            <v>Panamá 115</v>
          </cell>
          <cell r="D3" t="str">
            <v>PAN115</v>
          </cell>
          <cell r="E3">
            <v>7</v>
          </cell>
        </row>
        <row r="4">
          <cell r="A4">
            <v>6003</v>
          </cell>
          <cell r="B4">
            <v>230</v>
          </cell>
          <cell r="C4" t="str">
            <v>Panamá II 230</v>
          </cell>
          <cell r="D4" t="str">
            <v>PANII230</v>
          </cell>
          <cell r="E4">
            <v>7</v>
          </cell>
        </row>
        <row r="5">
          <cell r="A5">
            <v>6005</v>
          </cell>
          <cell r="B5">
            <v>230</v>
          </cell>
          <cell r="C5" t="str">
            <v>Chorrera 230</v>
          </cell>
          <cell r="D5" t="str">
            <v>CHO230</v>
          </cell>
          <cell r="E5">
            <v>6</v>
          </cell>
        </row>
        <row r="6">
          <cell r="A6">
            <v>6008</v>
          </cell>
          <cell r="B6">
            <v>230</v>
          </cell>
          <cell r="C6" t="str">
            <v>Llano Sánchez 230</v>
          </cell>
          <cell r="D6" t="str">
            <v>LSA230</v>
          </cell>
          <cell r="E6">
            <v>5</v>
          </cell>
        </row>
        <row r="7">
          <cell r="A7">
            <v>6011</v>
          </cell>
          <cell r="B7">
            <v>230</v>
          </cell>
          <cell r="C7" t="str">
            <v>Mata de Nance 230</v>
          </cell>
          <cell r="D7" t="str">
            <v>MDN230</v>
          </cell>
          <cell r="E7">
            <v>4</v>
          </cell>
        </row>
        <row r="8">
          <cell r="A8">
            <v>6012</v>
          </cell>
          <cell r="B8">
            <v>115</v>
          </cell>
          <cell r="C8" t="str">
            <v>Mata de Nance 115</v>
          </cell>
          <cell r="D8" t="str">
            <v>MDN115</v>
          </cell>
          <cell r="E8">
            <v>4</v>
          </cell>
        </row>
        <row r="9">
          <cell r="A9">
            <v>6013</v>
          </cell>
          <cell r="B9">
            <v>34.5</v>
          </cell>
          <cell r="C9" t="str">
            <v>Mata de Nance 34.5</v>
          </cell>
          <cell r="D9" t="str">
            <v>MDN34</v>
          </cell>
          <cell r="E9">
            <v>4</v>
          </cell>
        </row>
        <row r="10">
          <cell r="A10">
            <v>6014</v>
          </cell>
          <cell r="B10">
            <v>230</v>
          </cell>
          <cell r="C10" t="str">
            <v>Progreso 230</v>
          </cell>
          <cell r="D10" t="str">
            <v>PRO230</v>
          </cell>
          <cell r="E10">
            <v>1</v>
          </cell>
        </row>
        <row r="11">
          <cell r="A11">
            <v>6018</v>
          </cell>
          <cell r="B11">
            <v>115</v>
          </cell>
          <cell r="C11" t="str">
            <v>Cáceres</v>
          </cell>
          <cell r="D11" t="str">
            <v>CAC115</v>
          </cell>
          <cell r="E11">
            <v>7</v>
          </cell>
        </row>
        <row r="12">
          <cell r="A12">
            <v>6024</v>
          </cell>
          <cell r="B12">
            <v>115</v>
          </cell>
          <cell r="C12" t="str">
            <v>Chilibre</v>
          </cell>
          <cell r="D12" t="str">
            <v>CHI115</v>
          </cell>
          <cell r="E12">
            <v>7</v>
          </cell>
        </row>
        <row r="13">
          <cell r="A13">
            <v>6059</v>
          </cell>
          <cell r="B13">
            <v>115</v>
          </cell>
          <cell r="C13" t="str">
            <v>Las Minas 1</v>
          </cell>
          <cell r="D13" t="str">
            <v>LM1115</v>
          </cell>
          <cell r="E13">
            <v>9</v>
          </cell>
        </row>
        <row r="14">
          <cell r="A14">
            <v>6060</v>
          </cell>
          <cell r="B14">
            <v>115</v>
          </cell>
          <cell r="C14" t="str">
            <v>Las Minas 2</v>
          </cell>
          <cell r="D14" t="str">
            <v>LM2115</v>
          </cell>
          <cell r="E14">
            <v>9</v>
          </cell>
        </row>
        <row r="15">
          <cell r="A15">
            <v>6087</v>
          </cell>
          <cell r="B15">
            <v>115</v>
          </cell>
          <cell r="C15" t="str">
            <v>Caldera</v>
          </cell>
          <cell r="D15" t="str">
            <v>CAL115</v>
          </cell>
          <cell r="E15">
            <v>3</v>
          </cell>
        </row>
        <row r="16">
          <cell r="A16">
            <v>6096</v>
          </cell>
          <cell r="B16">
            <v>230</v>
          </cell>
          <cell r="C16" t="str">
            <v>Fortuna</v>
          </cell>
          <cell r="D16" t="str">
            <v>FOR230</v>
          </cell>
          <cell r="E16">
            <v>2</v>
          </cell>
        </row>
        <row r="17">
          <cell r="A17">
            <v>6100</v>
          </cell>
          <cell r="B17">
            <v>230</v>
          </cell>
          <cell r="C17" t="str">
            <v>Bayano</v>
          </cell>
          <cell r="D17" t="str">
            <v>BAY230</v>
          </cell>
          <cell r="E17">
            <v>8</v>
          </cell>
        </row>
        <row r="18">
          <cell r="A18">
            <v>6167</v>
          </cell>
          <cell r="B18">
            <v>230</v>
          </cell>
          <cell r="C18" t="str">
            <v>Santa Rita</v>
          </cell>
          <cell r="D18" t="str">
            <v>STR230</v>
          </cell>
          <cell r="E18">
            <v>9</v>
          </cell>
        </row>
        <row r="19">
          <cell r="A19">
            <v>6170</v>
          </cell>
          <cell r="B19">
            <v>115</v>
          </cell>
          <cell r="C19" t="str">
            <v>Cemento Panamá</v>
          </cell>
          <cell r="D19" t="str">
            <v>CPA115</v>
          </cell>
          <cell r="E19">
            <v>9</v>
          </cell>
        </row>
        <row r="20">
          <cell r="A20">
            <v>6171</v>
          </cell>
          <cell r="B20">
            <v>230</v>
          </cell>
          <cell r="C20" t="str">
            <v>Pacora</v>
          </cell>
          <cell r="D20" t="str">
            <v>PAC230</v>
          </cell>
          <cell r="E20">
            <v>7</v>
          </cell>
        </row>
        <row r="21">
          <cell r="A21">
            <v>6173</v>
          </cell>
          <cell r="B21">
            <v>115</v>
          </cell>
          <cell r="C21" t="str">
            <v>Santa Rita</v>
          </cell>
          <cell r="D21" t="str">
            <v>STR115</v>
          </cell>
          <cell r="E21">
            <v>9</v>
          </cell>
        </row>
        <row r="22">
          <cell r="A22">
            <v>6179</v>
          </cell>
          <cell r="B22">
            <v>230</v>
          </cell>
          <cell r="C22" t="str">
            <v>Guasquitas</v>
          </cell>
          <cell r="D22" t="str">
            <v>GUA230</v>
          </cell>
          <cell r="E22">
            <v>2</v>
          </cell>
        </row>
        <row r="23">
          <cell r="A23">
            <v>6182</v>
          </cell>
          <cell r="B23">
            <v>230</v>
          </cell>
          <cell r="C23" t="str">
            <v>Veladero</v>
          </cell>
          <cell r="D23" t="str">
            <v>VEL230</v>
          </cell>
          <cell r="E23">
            <v>4</v>
          </cell>
        </row>
        <row r="24">
          <cell r="A24">
            <v>6240</v>
          </cell>
          <cell r="B24">
            <v>230</v>
          </cell>
          <cell r="C24" t="str">
            <v>El Higo</v>
          </cell>
          <cell r="D24" t="str">
            <v>EHIG230</v>
          </cell>
          <cell r="E24">
            <v>6</v>
          </cell>
        </row>
        <row r="25">
          <cell r="A25">
            <v>6260</v>
          </cell>
          <cell r="B25">
            <v>230</v>
          </cell>
          <cell r="C25" t="str">
            <v>Changuinola</v>
          </cell>
          <cell r="D25" t="str">
            <v>CHA230</v>
          </cell>
          <cell r="E25">
            <v>10</v>
          </cell>
        </row>
        <row r="26">
          <cell r="A26">
            <v>6263</v>
          </cell>
          <cell r="B26">
            <v>230</v>
          </cell>
          <cell r="C26" t="str">
            <v>La Esperanza</v>
          </cell>
          <cell r="D26" t="str">
            <v>ESP230</v>
          </cell>
          <cell r="E26">
            <v>10</v>
          </cell>
        </row>
        <row r="27">
          <cell r="A27">
            <v>6290</v>
          </cell>
          <cell r="B27">
            <v>115</v>
          </cell>
          <cell r="C27" t="str">
            <v>Cativá II</v>
          </cell>
          <cell r="D27" t="str">
            <v>CATII115</v>
          </cell>
          <cell r="E27">
            <v>9</v>
          </cell>
        </row>
        <row r="28">
          <cell r="A28">
            <v>6340</v>
          </cell>
          <cell r="B28">
            <v>230</v>
          </cell>
          <cell r="C28" t="str">
            <v>Cañazas</v>
          </cell>
          <cell r="D28" t="str">
            <v>CAN230</v>
          </cell>
          <cell r="E28">
            <v>10</v>
          </cell>
        </row>
        <row r="29">
          <cell r="A29">
            <v>6380</v>
          </cell>
          <cell r="B29">
            <v>230</v>
          </cell>
          <cell r="C29" t="str">
            <v>Boquerón III</v>
          </cell>
          <cell r="D29" t="str">
            <v>BOQIII230</v>
          </cell>
          <cell r="E29">
            <v>4</v>
          </cell>
        </row>
        <row r="30">
          <cell r="A30">
            <v>6405</v>
          </cell>
          <cell r="B30">
            <v>230</v>
          </cell>
          <cell r="C30" t="str">
            <v>Telfers</v>
          </cell>
          <cell r="D30" t="str">
            <v>TEL230</v>
          </cell>
          <cell r="E30">
            <v>9</v>
          </cell>
        </row>
        <row r="31">
          <cell r="A31">
            <v>6411</v>
          </cell>
          <cell r="B31">
            <v>230</v>
          </cell>
          <cell r="C31" t="str">
            <v>Los Olivos</v>
          </cell>
          <cell r="D31" t="str">
            <v>LOL230</v>
          </cell>
          <cell r="E31">
            <v>4</v>
          </cell>
        </row>
        <row r="32">
          <cell r="A32">
            <v>6460</v>
          </cell>
          <cell r="B32">
            <v>230</v>
          </cell>
          <cell r="C32" t="str">
            <v>El Coco</v>
          </cell>
          <cell r="D32" t="str">
            <v>ECO230</v>
          </cell>
          <cell r="E32">
            <v>5</v>
          </cell>
        </row>
        <row r="33">
          <cell r="A33">
            <v>6470</v>
          </cell>
          <cell r="B33">
            <v>230</v>
          </cell>
          <cell r="C33" t="str">
            <v>24 de Diciembre</v>
          </cell>
          <cell r="D33" t="str">
            <v>24DIC230</v>
          </cell>
          <cell r="E33">
            <v>7</v>
          </cell>
        </row>
        <row r="34">
          <cell r="A34">
            <v>6520</v>
          </cell>
          <cell r="B34">
            <v>230</v>
          </cell>
          <cell r="C34" t="str">
            <v>San Bartolo</v>
          </cell>
          <cell r="D34" t="str">
            <v>SBA230</v>
          </cell>
          <cell r="E34">
            <v>4</v>
          </cell>
        </row>
        <row r="35">
          <cell r="A35">
            <v>6515</v>
          </cell>
          <cell r="B35">
            <v>230</v>
          </cell>
          <cell r="C35" t="str">
            <v>Progreso II</v>
          </cell>
          <cell r="D35" t="str">
            <v>PRO2-230</v>
          </cell>
          <cell r="E35">
            <v>1</v>
          </cell>
        </row>
        <row r="36">
          <cell r="A36">
            <v>6550</v>
          </cell>
          <cell r="B36">
            <v>230</v>
          </cell>
          <cell r="C36" t="str">
            <v>Bella Vista</v>
          </cell>
          <cell r="D36" t="str">
            <v>BEV230</v>
          </cell>
          <cell r="E36">
            <v>4</v>
          </cell>
        </row>
        <row r="37">
          <cell r="A37">
            <v>6596</v>
          </cell>
          <cell r="B37">
            <v>230</v>
          </cell>
          <cell r="C37" t="str">
            <v>Santa Cruz</v>
          </cell>
          <cell r="D37" t="str">
            <v>SCR230</v>
          </cell>
          <cell r="E37">
            <v>5</v>
          </cell>
        </row>
        <row r="38">
          <cell r="A38">
            <v>6969</v>
          </cell>
          <cell r="B38">
            <v>230</v>
          </cell>
          <cell r="C38" t="str">
            <v xml:space="preserve">Santiago </v>
          </cell>
          <cell r="D38" t="str">
            <v>STG2A230</v>
          </cell>
          <cell r="E38">
            <v>4</v>
          </cell>
        </row>
        <row r="39">
          <cell r="A39">
            <v>6713</v>
          </cell>
          <cell r="B39">
            <v>230</v>
          </cell>
          <cell r="C39" t="str">
            <v>Burunga</v>
          </cell>
          <cell r="D39" t="str">
            <v>BUR230</v>
          </cell>
          <cell r="E39">
            <v>6</v>
          </cell>
        </row>
        <row r="40">
          <cell r="A40">
            <v>6800</v>
          </cell>
          <cell r="B40">
            <v>230</v>
          </cell>
          <cell r="C40" t="str">
            <v>Caldera</v>
          </cell>
          <cell r="D40" t="str">
            <v>CAL230</v>
          </cell>
          <cell r="E40">
            <v>3</v>
          </cell>
        </row>
        <row r="41">
          <cell r="A41">
            <v>6801</v>
          </cell>
          <cell r="B41">
            <v>230</v>
          </cell>
          <cell r="C41" t="str">
            <v>Sabanitas</v>
          </cell>
          <cell r="D41" t="str">
            <v>SAB230</v>
          </cell>
          <cell r="E41">
            <v>9</v>
          </cell>
        </row>
        <row r="42">
          <cell r="A42">
            <v>6830</v>
          </cell>
          <cell r="B42">
            <v>230</v>
          </cell>
          <cell r="C42" t="str">
            <v>Antón</v>
          </cell>
          <cell r="D42" t="str">
            <v>ANT230</v>
          </cell>
          <cell r="E42">
            <v>6</v>
          </cell>
        </row>
        <row r="43">
          <cell r="A43">
            <v>6840</v>
          </cell>
          <cell r="B43">
            <v>230</v>
          </cell>
          <cell r="C43" t="str">
            <v>Panamá III</v>
          </cell>
          <cell r="D43" t="str">
            <v>PAN3 230</v>
          </cell>
          <cell r="E43">
            <v>7</v>
          </cell>
        </row>
        <row r="44">
          <cell r="A44">
            <v>6861</v>
          </cell>
          <cell r="B44">
            <v>230</v>
          </cell>
          <cell r="C44" t="str">
            <v>Chepo</v>
          </cell>
          <cell r="D44" t="str">
            <v>CHE230</v>
          </cell>
          <cell r="E44">
            <v>8</v>
          </cell>
        </row>
        <row r="45">
          <cell r="A45">
            <v>6882</v>
          </cell>
          <cell r="B45">
            <v>230</v>
          </cell>
          <cell r="C45" t="str">
            <v>Gonzalillo</v>
          </cell>
          <cell r="D45" t="str">
            <v>GON230</v>
          </cell>
          <cell r="E45">
            <v>7</v>
          </cell>
        </row>
        <row r="46">
          <cell r="A46">
            <v>6885</v>
          </cell>
          <cell r="B46">
            <v>230</v>
          </cell>
          <cell r="C46" t="str">
            <v>La Huaca</v>
          </cell>
          <cell r="D46" t="str">
            <v>LHU230</v>
          </cell>
          <cell r="E46">
            <v>4</v>
          </cell>
        </row>
        <row r="47">
          <cell r="A47">
            <v>7000</v>
          </cell>
          <cell r="C47" t="str">
            <v>T1-Panama</v>
          </cell>
          <cell r="D47" t="str">
            <v>T1-PAN</v>
          </cell>
          <cell r="E47">
            <v>7</v>
          </cell>
        </row>
        <row r="48">
          <cell r="A48">
            <v>7001</v>
          </cell>
          <cell r="C48" t="str">
            <v>T2-Panama</v>
          </cell>
          <cell r="D48" t="str">
            <v>T2-PAN</v>
          </cell>
          <cell r="E48">
            <v>7</v>
          </cell>
        </row>
        <row r="49">
          <cell r="A49">
            <v>7002</v>
          </cell>
          <cell r="C49" t="str">
            <v>T3-Panama</v>
          </cell>
          <cell r="D49" t="str">
            <v>T3-PAN</v>
          </cell>
          <cell r="E49">
            <v>7</v>
          </cell>
        </row>
        <row r="50">
          <cell r="A50">
            <v>7003</v>
          </cell>
          <cell r="C50" t="str">
            <v>T5-Panama</v>
          </cell>
          <cell r="D50" t="str">
            <v>T5-PAN</v>
          </cell>
          <cell r="E50">
            <v>7</v>
          </cell>
        </row>
        <row r="51">
          <cell r="A51">
            <v>7013</v>
          </cell>
          <cell r="C51" t="str">
            <v>T1-Mata de Nance</v>
          </cell>
          <cell r="D51" t="str">
            <v>T1-MDN</v>
          </cell>
          <cell r="E51">
            <v>4</v>
          </cell>
        </row>
        <row r="52">
          <cell r="A52">
            <v>7014</v>
          </cell>
          <cell r="C52" t="str">
            <v>T2-Mata de Nance</v>
          </cell>
          <cell r="D52" t="str">
            <v>T2-MDN</v>
          </cell>
          <cell r="E52">
            <v>4</v>
          </cell>
        </row>
        <row r="53">
          <cell r="A53">
            <v>7015</v>
          </cell>
          <cell r="C53" t="str">
            <v>T3-Mata de Nance</v>
          </cell>
          <cell r="D53" t="str">
            <v>T3-MDN</v>
          </cell>
          <cell r="E53">
            <v>4</v>
          </cell>
        </row>
        <row r="54">
          <cell r="A54">
            <v>7016</v>
          </cell>
          <cell r="C54" t="str">
            <v>T1-Changuinola</v>
          </cell>
          <cell r="D54" t="str">
            <v>T1-CHA</v>
          </cell>
          <cell r="E54">
            <v>10</v>
          </cell>
        </row>
        <row r="55">
          <cell r="A55">
            <v>7017</v>
          </cell>
          <cell r="C55" t="str">
            <v>T2-Changuinola</v>
          </cell>
          <cell r="D55" t="str">
            <v>T2-CHA</v>
          </cell>
          <cell r="E55">
            <v>10</v>
          </cell>
        </row>
      </sheetData>
      <sheetData sheetId="2">
        <row r="2">
          <cell r="C2">
            <v>230</v>
          </cell>
          <cell r="F2" t="str">
            <v>S</v>
          </cell>
          <cell r="G2">
            <v>13.09</v>
          </cell>
        </row>
        <row r="3">
          <cell r="C3">
            <v>230</v>
          </cell>
          <cell r="F3" t="str">
            <v>S</v>
          </cell>
          <cell r="G3">
            <v>13.09</v>
          </cell>
        </row>
        <row r="4">
          <cell r="C4">
            <v>230</v>
          </cell>
          <cell r="F4" t="str">
            <v>S</v>
          </cell>
          <cell r="G4">
            <v>40.479999999999997</v>
          </cell>
        </row>
        <row r="5">
          <cell r="C5">
            <v>230</v>
          </cell>
          <cell r="F5" t="str">
            <v>S</v>
          </cell>
          <cell r="G5">
            <v>3.18</v>
          </cell>
        </row>
        <row r="6">
          <cell r="C6">
            <v>230</v>
          </cell>
          <cell r="F6" t="str">
            <v>S</v>
          </cell>
          <cell r="G6">
            <v>3.18</v>
          </cell>
        </row>
        <row r="7">
          <cell r="C7">
            <v>230</v>
          </cell>
          <cell r="F7" t="str">
            <v>S</v>
          </cell>
          <cell r="G7">
            <v>40.479999999999997</v>
          </cell>
        </row>
        <row r="8">
          <cell r="C8" t="str">
            <v>TX</v>
          </cell>
          <cell r="F8" t="str">
            <v>S</v>
          </cell>
        </row>
        <row r="9">
          <cell r="C9" t="str">
            <v>TX</v>
          </cell>
          <cell r="F9" t="str">
            <v>S</v>
          </cell>
        </row>
        <row r="10">
          <cell r="C10" t="str">
            <v>TX</v>
          </cell>
          <cell r="F10" t="str">
            <v>S</v>
          </cell>
        </row>
        <row r="11">
          <cell r="C11" t="str">
            <v>TX</v>
          </cell>
          <cell r="F11" t="str">
            <v>S</v>
          </cell>
        </row>
        <row r="12">
          <cell r="C12">
            <v>115</v>
          </cell>
          <cell r="F12" t="str">
            <v>S</v>
          </cell>
          <cell r="G12">
            <v>0.81</v>
          </cell>
        </row>
        <row r="13">
          <cell r="C13">
            <v>115</v>
          </cell>
          <cell r="F13" t="str">
            <v>S</v>
          </cell>
          <cell r="G13">
            <v>0.81</v>
          </cell>
        </row>
        <row r="14">
          <cell r="C14">
            <v>115</v>
          </cell>
          <cell r="F14" t="str">
            <v>S</v>
          </cell>
          <cell r="G14">
            <v>0.81</v>
          </cell>
        </row>
        <row r="15">
          <cell r="C15">
            <v>115</v>
          </cell>
          <cell r="F15" t="str">
            <v>S</v>
          </cell>
          <cell r="G15">
            <v>22.85</v>
          </cell>
        </row>
        <row r="16">
          <cell r="C16">
            <v>115</v>
          </cell>
          <cell r="F16" t="str">
            <v>S</v>
          </cell>
          <cell r="G16">
            <v>31.18</v>
          </cell>
        </row>
        <row r="17">
          <cell r="C17" t="str">
            <v>TX</v>
          </cell>
          <cell r="F17" t="str">
            <v>S</v>
          </cell>
        </row>
        <row r="18">
          <cell r="C18" t="str">
            <v>TX</v>
          </cell>
          <cell r="F18" t="str">
            <v>S</v>
          </cell>
        </row>
        <row r="19">
          <cell r="C19" t="str">
            <v>TX</v>
          </cell>
          <cell r="F19" t="str">
            <v>S</v>
          </cell>
        </row>
        <row r="20">
          <cell r="C20" t="str">
            <v>TX</v>
          </cell>
          <cell r="F20" t="str">
            <v>S</v>
          </cell>
        </row>
        <row r="21">
          <cell r="C21">
            <v>230</v>
          </cell>
          <cell r="F21" t="str">
            <v>S</v>
          </cell>
          <cell r="G21">
            <v>19.010000000000002</v>
          </cell>
        </row>
        <row r="22">
          <cell r="C22">
            <v>230</v>
          </cell>
          <cell r="F22" t="str">
            <v>S</v>
          </cell>
          <cell r="G22">
            <v>10.67</v>
          </cell>
        </row>
        <row r="23">
          <cell r="C23">
            <v>230</v>
          </cell>
          <cell r="F23" t="str">
            <v>S</v>
          </cell>
          <cell r="G23">
            <v>14.55</v>
          </cell>
        </row>
        <row r="24">
          <cell r="C24">
            <v>230</v>
          </cell>
          <cell r="F24" t="str">
            <v>S</v>
          </cell>
          <cell r="G24">
            <v>14.55</v>
          </cell>
        </row>
        <row r="25">
          <cell r="C25">
            <v>230</v>
          </cell>
          <cell r="F25" t="str">
            <v>S</v>
          </cell>
          <cell r="G25">
            <v>5.34</v>
          </cell>
        </row>
        <row r="26">
          <cell r="C26">
            <v>230</v>
          </cell>
          <cell r="F26" t="str">
            <v>S</v>
          </cell>
          <cell r="G26">
            <v>50.85</v>
          </cell>
        </row>
        <row r="27">
          <cell r="C27">
            <v>230</v>
          </cell>
          <cell r="F27" t="str">
            <v>S</v>
          </cell>
          <cell r="G27">
            <v>50.85</v>
          </cell>
        </row>
        <row r="28">
          <cell r="C28">
            <v>230</v>
          </cell>
          <cell r="F28" t="str">
            <v>S</v>
          </cell>
          <cell r="G28">
            <v>60.81</v>
          </cell>
        </row>
        <row r="29">
          <cell r="C29">
            <v>230</v>
          </cell>
          <cell r="F29" t="str">
            <v>S</v>
          </cell>
          <cell r="G29">
            <v>60.81</v>
          </cell>
        </row>
        <row r="30">
          <cell r="C30">
            <v>230</v>
          </cell>
          <cell r="F30" t="str">
            <v>S</v>
          </cell>
          <cell r="G30">
            <v>95.2</v>
          </cell>
        </row>
        <row r="31">
          <cell r="C31">
            <v>230</v>
          </cell>
          <cell r="F31" t="str">
            <v>S</v>
          </cell>
          <cell r="G31">
            <v>34.89</v>
          </cell>
        </row>
        <row r="32">
          <cell r="C32">
            <v>230</v>
          </cell>
          <cell r="F32" t="str">
            <v>S</v>
          </cell>
          <cell r="G32">
            <v>34.89</v>
          </cell>
        </row>
        <row r="33">
          <cell r="C33">
            <v>230</v>
          </cell>
          <cell r="F33" t="str">
            <v>S</v>
          </cell>
          <cell r="G33">
            <v>120.19</v>
          </cell>
        </row>
        <row r="34">
          <cell r="C34">
            <v>230</v>
          </cell>
          <cell r="F34" t="str">
            <v>S</v>
          </cell>
          <cell r="G34">
            <v>111.38</v>
          </cell>
        </row>
        <row r="35">
          <cell r="C35">
            <v>230</v>
          </cell>
          <cell r="F35" t="str">
            <v>S</v>
          </cell>
          <cell r="G35">
            <v>111.38</v>
          </cell>
        </row>
        <row r="36">
          <cell r="C36">
            <v>230</v>
          </cell>
          <cell r="F36" t="str">
            <v>S</v>
          </cell>
          <cell r="G36">
            <v>81.93</v>
          </cell>
        </row>
        <row r="37">
          <cell r="C37">
            <v>230</v>
          </cell>
          <cell r="F37" t="str">
            <v>S</v>
          </cell>
          <cell r="G37">
            <v>81.93</v>
          </cell>
        </row>
        <row r="38">
          <cell r="C38">
            <v>230</v>
          </cell>
          <cell r="F38" t="str">
            <v>S</v>
          </cell>
          <cell r="G38">
            <v>44.65</v>
          </cell>
        </row>
        <row r="39">
          <cell r="C39">
            <v>230</v>
          </cell>
          <cell r="F39" t="str">
            <v>S</v>
          </cell>
          <cell r="G39">
            <v>44.65</v>
          </cell>
        </row>
        <row r="40">
          <cell r="C40">
            <v>230</v>
          </cell>
          <cell r="F40" t="str">
            <v>S</v>
          </cell>
          <cell r="G40">
            <v>68.2</v>
          </cell>
        </row>
        <row r="41">
          <cell r="C41">
            <v>230</v>
          </cell>
          <cell r="F41" t="str">
            <v>S</v>
          </cell>
          <cell r="G41">
            <v>68.2</v>
          </cell>
        </row>
        <row r="42">
          <cell r="C42">
            <v>230</v>
          </cell>
          <cell r="F42" t="str">
            <v>S</v>
          </cell>
          <cell r="G42">
            <v>36</v>
          </cell>
        </row>
        <row r="43">
          <cell r="C43">
            <v>230</v>
          </cell>
          <cell r="F43" t="str">
            <v>S</v>
          </cell>
          <cell r="G43">
            <v>36</v>
          </cell>
        </row>
        <row r="44">
          <cell r="C44">
            <v>230</v>
          </cell>
          <cell r="F44" t="str">
            <v>S</v>
          </cell>
          <cell r="G44">
            <v>7</v>
          </cell>
        </row>
        <row r="45">
          <cell r="C45">
            <v>230</v>
          </cell>
          <cell r="F45" t="str">
            <v>S</v>
          </cell>
          <cell r="G45">
            <v>7</v>
          </cell>
        </row>
        <row r="46">
          <cell r="C46">
            <v>230</v>
          </cell>
          <cell r="F46" t="str">
            <v>S</v>
          </cell>
          <cell r="G46">
            <v>85.6</v>
          </cell>
        </row>
        <row r="47">
          <cell r="C47">
            <v>230</v>
          </cell>
          <cell r="F47" t="str">
            <v>S</v>
          </cell>
          <cell r="G47">
            <v>85.6</v>
          </cell>
        </row>
        <row r="48">
          <cell r="C48">
            <v>230</v>
          </cell>
          <cell r="F48" t="str">
            <v>S</v>
          </cell>
          <cell r="G48">
            <v>24.17</v>
          </cell>
        </row>
        <row r="49">
          <cell r="C49" t="str">
            <v>TX</v>
          </cell>
          <cell r="F49" t="str">
            <v>S</v>
          </cell>
        </row>
        <row r="50">
          <cell r="C50" t="str">
            <v>TX</v>
          </cell>
          <cell r="F50" t="str">
            <v>S</v>
          </cell>
        </row>
        <row r="51">
          <cell r="C51" t="str">
            <v>TX</v>
          </cell>
          <cell r="F51" t="str">
            <v>S</v>
          </cell>
        </row>
        <row r="52">
          <cell r="C52">
            <v>230</v>
          </cell>
          <cell r="F52" t="str">
            <v>S</v>
          </cell>
          <cell r="G52">
            <v>25.35</v>
          </cell>
        </row>
        <row r="53">
          <cell r="C53">
            <v>230</v>
          </cell>
          <cell r="F53" t="str">
            <v>S</v>
          </cell>
          <cell r="G53">
            <v>25.35</v>
          </cell>
        </row>
        <row r="54">
          <cell r="C54">
            <v>115</v>
          </cell>
          <cell r="F54" t="str">
            <v>S</v>
          </cell>
          <cell r="G54">
            <v>25.32</v>
          </cell>
        </row>
        <row r="55">
          <cell r="C55">
            <v>115</v>
          </cell>
          <cell r="F55" t="str">
            <v>S</v>
          </cell>
          <cell r="G55">
            <v>25.32</v>
          </cell>
        </row>
        <row r="56">
          <cell r="C56" t="str">
            <v>TX</v>
          </cell>
          <cell r="F56" t="str">
            <v>S</v>
          </cell>
        </row>
        <row r="57">
          <cell r="C57" t="str">
            <v>TX</v>
          </cell>
          <cell r="F57" t="str">
            <v>S</v>
          </cell>
        </row>
        <row r="58">
          <cell r="C58" t="str">
            <v>TX</v>
          </cell>
          <cell r="F58" t="str">
            <v>S</v>
          </cell>
        </row>
        <row r="59">
          <cell r="C59" t="str">
            <v>TX</v>
          </cell>
          <cell r="F59" t="str">
            <v>S</v>
          </cell>
        </row>
        <row r="60">
          <cell r="C60" t="str">
            <v>TX</v>
          </cell>
          <cell r="F60" t="str">
            <v>S</v>
          </cell>
        </row>
        <row r="61">
          <cell r="C61" t="str">
            <v>TX</v>
          </cell>
          <cell r="F61" t="str">
            <v>S</v>
          </cell>
        </row>
        <row r="62">
          <cell r="C62">
            <v>230</v>
          </cell>
          <cell r="F62" t="str">
            <v>S</v>
          </cell>
          <cell r="G62">
            <v>29.95</v>
          </cell>
        </row>
        <row r="63">
          <cell r="C63">
            <v>230</v>
          </cell>
          <cell r="F63" t="str">
            <v>S</v>
          </cell>
          <cell r="G63">
            <v>54.12</v>
          </cell>
        </row>
        <row r="64">
          <cell r="C64">
            <v>230</v>
          </cell>
          <cell r="F64" t="str">
            <v>S</v>
          </cell>
        </row>
        <row r="65">
          <cell r="C65">
            <v>230</v>
          </cell>
          <cell r="F65" t="str">
            <v>S</v>
          </cell>
        </row>
        <row r="66">
          <cell r="C66">
            <v>115</v>
          </cell>
          <cell r="F66" t="str">
            <v>S</v>
          </cell>
          <cell r="G66">
            <v>47.81</v>
          </cell>
        </row>
        <row r="67">
          <cell r="C67">
            <v>115</v>
          </cell>
          <cell r="F67" t="str">
            <v>S</v>
          </cell>
          <cell r="G67">
            <v>47.81</v>
          </cell>
        </row>
        <row r="68">
          <cell r="C68">
            <v>115</v>
          </cell>
          <cell r="F68" t="str">
            <v>S</v>
          </cell>
          <cell r="G68">
            <v>32.08</v>
          </cell>
        </row>
        <row r="69">
          <cell r="C69">
            <v>115</v>
          </cell>
          <cell r="F69" t="str">
            <v>S</v>
          </cell>
          <cell r="G69">
            <v>6.9</v>
          </cell>
        </row>
        <row r="70">
          <cell r="C70">
            <v>115</v>
          </cell>
          <cell r="F70" t="str">
            <v>S</v>
          </cell>
          <cell r="G70">
            <v>0.96</v>
          </cell>
        </row>
        <row r="71">
          <cell r="C71">
            <v>115</v>
          </cell>
          <cell r="F71" t="str">
            <v>S</v>
          </cell>
          <cell r="G71">
            <v>25.41</v>
          </cell>
        </row>
        <row r="72">
          <cell r="C72">
            <v>230</v>
          </cell>
          <cell r="F72" t="str">
            <v>S</v>
          </cell>
          <cell r="G72">
            <v>16.399999999999999</v>
          </cell>
        </row>
        <row r="73">
          <cell r="C73">
            <v>230</v>
          </cell>
          <cell r="F73" t="str">
            <v>S</v>
          </cell>
          <cell r="G73">
            <v>97.4</v>
          </cell>
        </row>
        <row r="74">
          <cell r="C74">
            <v>230</v>
          </cell>
          <cell r="F74" t="str">
            <v>S</v>
          </cell>
          <cell r="G74">
            <v>12.4</v>
          </cell>
        </row>
        <row r="75">
          <cell r="C75">
            <v>230</v>
          </cell>
          <cell r="F75" t="str">
            <v>S</v>
          </cell>
          <cell r="G75">
            <v>12.4</v>
          </cell>
        </row>
        <row r="76">
          <cell r="C76">
            <v>230</v>
          </cell>
          <cell r="F76" t="str">
            <v>S</v>
          </cell>
          <cell r="G76">
            <v>24.5</v>
          </cell>
        </row>
        <row r="77">
          <cell r="C77">
            <v>230</v>
          </cell>
          <cell r="F77" t="str">
            <v>S</v>
          </cell>
          <cell r="G77">
            <v>24.5</v>
          </cell>
        </row>
        <row r="78">
          <cell r="C78">
            <v>230</v>
          </cell>
          <cell r="F78" t="str">
            <v>S</v>
          </cell>
          <cell r="G78">
            <v>25.37</v>
          </cell>
        </row>
        <row r="79">
          <cell r="C79">
            <v>115</v>
          </cell>
          <cell r="F79" t="str">
            <v>S</v>
          </cell>
          <cell r="G79">
            <v>6.69</v>
          </cell>
        </row>
        <row r="80">
          <cell r="C80">
            <v>230</v>
          </cell>
          <cell r="F80" t="str">
            <v>S</v>
          </cell>
          <cell r="G80">
            <v>84.81</v>
          </cell>
        </row>
        <row r="81">
          <cell r="C81">
            <v>230</v>
          </cell>
          <cell r="F81" t="str">
            <v>S</v>
          </cell>
          <cell r="G81">
            <v>84.81</v>
          </cell>
        </row>
        <row r="82">
          <cell r="C82">
            <v>230</v>
          </cell>
          <cell r="F82" t="str">
            <v>S</v>
          </cell>
          <cell r="G82">
            <v>42.89</v>
          </cell>
        </row>
        <row r="83">
          <cell r="C83">
            <v>230</v>
          </cell>
          <cell r="F83" t="str">
            <v>S</v>
          </cell>
          <cell r="G83">
            <v>42.89</v>
          </cell>
        </row>
        <row r="84">
          <cell r="C84">
            <v>230</v>
          </cell>
          <cell r="F84" t="str">
            <v>S</v>
          </cell>
          <cell r="G84">
            <v>8.66</v>
          </cell>
        </row>
        <row r="85">
          <cell r="C85">
            <v>230</v>
          </cell>
          <cell r="F85" t="str">
            <v>S</v>
          </cell>
          <cell r="G85">
            <v>74.87</v>
          </cell>
        </row>
        <row r="86">
          <cell r="C86">
            <v>230</v>
          </cell>
          <cell r="F86" t="str">
            <v>S</v>
          </cell>
          <cell r="G86">
            <v>24.66</v>
          </cell>
        </row>
        <row r="87">
          <cell r="C87">
            <v>230</v>
          </cell>
          <cell r="F87" t="str">
            <v>S</v>
          </cell>
          <cell r="G87">
            <v>78.38</v>
          </cell>
        </row>
        <row r="88">
          <cell r="C88">
            <v>230</v>
          </cell>
          <cell r="F88" t="str">
            <v>S</v>
          </cell>
          <cell r="G88">
            <v>45.57</v>
          </cell>
        </row>
        <row r="89">
          <cell r="C89">
            <v>230</v>
          </cell>
          <cell r="F89" t="str">
            <v>S</v>
          </cell>
          <cell r="G89">
            <v>117.22</v>
          </cell>
        </row>
        <row r="90">
          <cell r="C90">
            <v>230</v>
          </cell>
          <cell r="F90" t="str">
            <v>S</v>
          </cell>
          <cell r="G90">
            <v>117.22</v>
          </cell>
        </row>
        <row r="91">
          <cell r="C91">
            <v>230</v>
          </cell>
          <cell r="F91" t="str">
            <v>S</v>
          </cell>
          <cell r="G91">
            <v>35.24</v>
          </cell>
        </row>
        <row r="92">
          <cell r="C92">
            <v>230</v>
          </cell>
          <cell r="F92" t="str">
            <v>S</v>
          </cell>
          <cell r="G92">
            <v>24.99</v>
          </cell>
        </row>
        <row r="93">
          <cell r="C93">
            <v>230</v>
          </cell>
          <cell r="F93" t="str">
            <v>S</v>
          </cell>
          <cell r="G93">
            <v>19.399999999999999</v>
          </cell>
        </row>
        <row r="94">
          <cell r="C94">
            <v>230</v>
          </cell>
          <cell r="F94" t="str">
            <v>S</v>
          </cell>
          <cell r="G94">
            <v>19.399999999999999</v>
          </cell>
        </row>
        <row r="95">
          <cell r="C95">
            <v>230</v>
          </cell>
          <cell r="F95" t="str">
            <v>S</v>
          </cell>
          <cell r="G95">
            <v>45.69</v>
          </cell>
        </row>
        <row r="96">
          <cell r="C96">
            <v>230</v>
          </cell>
          <cell r="F96" t="str">
            <v>S</v>
          </cell>
          <cell r="G96">
            <v>45.69</v>
          </cell>
        </row>
        <row r="97">
          <cell r="C97">
            <v>230</v>
          </cell>
          <cell r="F97" t="str">
            <v>S</v>
          </cell>
          <cell r="G97">
            <v>16</v>
          </cell>
        </row>
        <row r="98">
          <cell r="C98">
            <v>230</v>
          </cell>
          <cell r="F98" t="str">
            <v>S</v>
          </cell>
          <cell r="G98">
            <v>16</v>
          </cell>
        </row>
        <row r="99">
          <cell r="C99">
            <v>230</v>
          </cell>
          <cell r="F99" t="str">
            <v>S</v>
          </cell>
          <cell r="G99">
            <v>46.51</v>
          </cell>
        </row>
        <row r="100">
          <cell r="C100">
            <v>230</v>
          </cell>
          <cell r="F100" t="str">
            <v>S</v>
          </cell>
        </row>
        <row r="101">
          <cell r="C101">
            <v>230</v>
          </cell>
          <cell r="F101" t="str">
            <v>S</v>
          </cell>
        </row>
        <row r="102">
          <cell r="C102">
            <v>230</v>
          </cell>
          <cell r="F102" t="str">
            <v>S</v>
          </cell>
          <cell r="G102">
            <v>2.1</v>
          </cell>
        </row>
        <row r="103">
          <cell r="C103">
            <v>230</v>
          </cell>
          <cell r="F103" t="str">
            <v>S</v>
          </cell>
          <cell r="G103">
            <v>2.1</v>
          </cell>
        </row>
        <row r="104">
          <cell r="C104">
            <v>230</v>
          </cell>
          <cell r="F104" t="str">
            <v>S</v>
          </cell>
          <cell r="G104">
            <v>100.97</v>
          </cell>
        </row>
        <row r="105">
          <cell r="C105">
            <v>230</v>
          </cell>
          <cell r="F105" t="str">
            <v>S</v>
          </cell>
          <cell r="G105">
            <v>28.78</v>
          </cell>
        </row>
        <row r="106">
          <cell r="C106">
            <v>230</v>
          </cell>
          <cell r="F106" t="str">
            <v>S</v>
          </cell>
          <cell r="G106">
            <v>40</v>
          </cell>
        </row>
        <row r="107">
          <cell r="C107">
            <v>230</v>
          </cell>
          <cell r="F107" t="str">
            <v>S</v>
          </cell>
          <cell r="G107">
            <v>40</v>
          </cell>
        </row>
      </sheetData>
      <sheetData sheetId="3"/>
      <sheetData sheetId="4"/>
      <sheetData sheetId="5">
        <row r="2">
          <cell r="L2">
            <v>0</v>
          </cell>
        </row>
        <row r="17">
          <cell r="L17">
            <v>0</v>
          </cell>
        </row>
      </sheetData>
      <sheetData sheetId="6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"/>
      <sheetName val="M01"/>
      <sheetName val="M02"/>
      <sheetName val="M03"/>
      <sheetName val="M04"/>
      <sheetName val="M05"/>
      <sheetName val="M06"/>
      <sheetName val="M07"/>
      <sheetName val="M08"/>
      <sheetName val="M09"/>
      <sheetName val="M10"/>
      <sheetName val="M11"/>
      <sheetName val="M12"/>
    </sheetNames>
    <sheetDataSet>
      <sheetData sheetId="0" refreshError="1"/>
      <sheetData sheetId="1">
        <row r="13">
          <cell r="H13">
            <v>744</v>
          </cell>
          <cell r="I13">
            <v>8.4931506849315067E-2</v>
          </cell>
        </row>
        <row r="21">
          <cell r="B21">
            <v>124.21004072432801</v>
          </cell>
          <cell r="C21">
            <v>354.09524367069884</v>
          </cell>
          <cell r="D21">
            <v>85.990212655779558</v>
          </cell>
          <cell r="E21">
            <v>211.58604438400536</v>
          </cell>
          <cell r="F21">
            <v>138.78240370846774</v>
          </cell>
          <cell r="G21">
            <v>3.618322432392473</v>
          </cell>
          <cell r="H21">
            <v>0</v>
          </cell>
          <cell r="I21">
            <v>117.26088075577957</v>
          </cell>
          <cell r="J21">
            <v>176.61717448454303</v>
          </cell>
          <cell r="K21">
            <v>160.69095156760761</v>
          </cell>
        </row>
        <row r="22">
          <cell r="B22">
            <v>10.577345905241934</v>
          </cell>
          <cell r="C22">
            <v>0</v>
          </cell>
          <cell r="D22">
            <v>4.5144069354838702E-2</v>
          </cell>
          <cell r="E22">
            <v>57.332371141129045</v>
          </cell>
          <cell r="F22">
            <v>124.88653276989248</v>
          </cell>
          <cell r="G22">
            <v>125.83369822580647</v>
          </cell>
          <cell r="H22">
            <v>675.44960522580652</v>
          </cell>
          <cell r="I22">
            <v>1.1667451881720432</v>
          </cell>
          <cell r="J22">
            <v>81.008771227150504</v>
          </cell>
          <cell r="K22">
            <v>32.56138360779569</v>
          </cell>
        </row>
        <row r="24">
          <cell r="B24">
            <v>92.41227029890004</v>
          </cell>
          <cell r="C24">
            <v>263.44686129099995</v>
          </cell>
          <cell r="D24">
            <v>63.976718215899993</v>
          </cell>
          <cell r="E24">
            <v>157.42001702169998</v>
          </cell>
          <cell r="F24">
            <v>103.2541083591</v>
          </cell>
          <cell r="G24">
            <v>2.6920318897</v>
          </cell>
          <cell r="H24">
            <v>0</v>
          </cell>
          <cell r="I24">
            <v>87.242095282299999</v>
          </cell>
          <cell r="J24">
            <v>131.4031778165</v>
          </cell>
          <cell r="K24">
            <v>119.55406796630007</v>
          </cell>
        </row>
        <row r="25">
          <cell r="B25">
            <v>7.8695453534999986</v>
          </cell>
          <cell r="C25">
            <v>0</v>
          </cell>
          <cell r="D25">
            <v>3.3587187599999992E-2</v>
          </cell>
          <cell r="E25">
            <v>42.655284129000009</v>
          </cell>
          <cell r="F25">
            <v>92.915580380800009</v>
          </cell>
          <cell r="G25">
            <v>93.620271480000014</v>
          </cell>
          <cell r="H25">
            <v>502.5345062880001</v>
          </cell>
          <cell r="I25">
            <v>0.86805842000000022</v>
          </cell>
          <cell r="J25">
            <v>60.270525792999976</v>
          </cell>
          <cell r="K25">
            <v>24.225669404199994</v>
          </cell>
        </row>
        <row r="27">
          <cell r="B27">
            <v>0.17914775281665152</v>
          </cell>
          <cell r="C27">
            <v>5.3836869207933331</v>
          </cell>
          <cell r="D27">
            <v>4.6938077038992292</v>
          </cell>
          <cell r="E27">
            <v>3.3430742263715199</v>
          </cell>
          <cell r="F27">
            <v>2.9612885664002664</v>
          </cell>
          <cell r="G27">
            <v>1.6187546385841081</v>
          </cell>
          <cell r="H27">
            <v>0</v>
          </cell>
          <cell r="I27">
            <v>1.2387032004054397</v>
          </cell>
          <cell r="J27">
            <v>1.1592175997615366</v>
          </cell>
          <cell r="K27">
            <v>3.3112882731611735</v>
          </cell>
        </row>
        <row r="28">
          <cell r="B28">
            <v>0.50865882011430985</v>
          </cell>
          <cell r="C28">
            <v>0</v>
          </cell>
          <cell r="D28">
            <v>0</v>
          </cell>
          <cell r="E28">
            <v>4.5302051177626685</v>
          </cell>
          <cell r="F28">
            <v>4.59461644032399</v>
          </cell>
          <cell r="G28">
            <v>6.1042498568133547</v>
          </cell>
          <cell r="H28">
            <v>3.753154253779984</v>
          </cell>
          <cell r="I28">
            <v>0</v>
          </cell>
          <cell r="J28">
            <v>8.5806692240058435</v>
          </cell>
          <cell r="K28">
            <v>0.44114818933793842</v>
          </cell>
        </row>
        <row r="30">
          <cell r="B30">
            <v>0.4954659373620271</v>
          </cell>
        </row>
        <row r="31">
          <cell r="B31">
            <v>1.290406589949183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50.634981954334222</v>
          </cell>
          <cell r="C38">
            <v>1384.8987286870454</v>
          </cell>
          <cell r="D38">
            <v>268.39927829784193</v>
          </cell>
          <cell r="E38">
            <v>465.2724790295598</v>
          </cell>
          <cell r="F38">
            <v>302.40020555610784</v>
          </cell>
          <cell r="G38">
            <v>4.4150857203508735</v>
          </cell>
          <cell r="H38">
            <v>0</v>
          </cell>
          <cell r="I38">
            <v>119.01623918225737</v>
          </cell>
          <cell r="J38">
            <v>142.87884907074573</v>
          </cell>
          <cell r="K38">
            <v>390.57759053260412</v>
          </cell>
        </row>
        <row r="39">
          <cell r="B39">
            <v>3.1180749963312655</v>
          </cell>
          <cell r="C39">
            <v>0</v>
          </cell>
          <cell r="D39">
            <v>0</v>
          </cell>
          <cell r="E39">
            <v>187.4070103946909</v>
          </cell>
          <cell r="F39">
            <v>423.03747953550771</v>
          </cell>
          <cell r="G39">
            <v>557.27185603771738</v>
          </cell>
          <cell r="H39">
            <v>1838.9304605497316</v>
          </cell>
          <cell r="I39">
            <v>0</v>
          </cell>
          <cell r="J39">
            <v>502.03231549944206</v>
          </cell>
          <cell r="K39">
            <v>9.299612112798787</v>
          </cell>
        </row>
        <row r="41">
          <cell r="B41">
            <v>189.15898556607473</v>
          </cell>
          <cell r="C41">
            <v>271.85720517117073</v>
          </cell>
          <cell r="D41">
            <v>96.150119804475011</v>
          </cell>
          <cell r="E41">
            <v>264.41272045979997</v>
          </cell>
          <cell r="F41">
            <v>329.299875997806</v>
          </cell>
          <cell r="G41">
            <v>141.91135377923177</v>
          </cell>
          <cell r="H41">
            <v>77.363042391581629</v>
          </cell>
          <cell r="I41">
            <v>128.82114371412703</v>
          </cell>
          <cell r="J41">
            <v>681.88499629448972</v>
          </cell>
          <cell r="K41">
            <v>124.94164542458239</v>
          </cell>
        </row>
        <row r="42">
          <cell r="B42">
            <v>24.930655317818214</v>
          </cell>
          <cell r="C42">
            <v>0</v>
          </cell>
          <cell r="D42">
            <v>0.11613659309542645</v>
          </cell>
          <cell r="E42">
            <v>168.12707460447905</v>
          </cell>
          <cell r="F42">
            <v>363.3397835319916</v>
          </cell>
          <cell r="G42">
            <v>273.43715641023192</v>
          </cell>
          <cell r="H42">
            <v>1529.1963294192792</v>
          </cell>
          <cell r="I42">
            <v>3.6260425177572038</v>
          </cell>
          <cell r="J42">
            <v>161.21049528235147</v>
          </cell>
          <cell r="K42">
            <v>71.178827501596928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2">
        <row r="13">
          <cell r="H13">
            <v>744</v>
          </cell>
          <cell r="I13">
            <v>8.493150684931508E-2</v>
          </cell>
        </row>
        <row r="21">
          <cell r="B21">
            <v>134.67405937217745</v>
          </cell>
          <cell r="C21">
            <v>334.80374415053734</v>
          </cell>
          <cell r="D21">
            <v>74.046539234139786</v>
          </cell>
          <cell r="E21">
            <v>211.77759965994625</v>
          </cell>
          <cell r="F21">
            <v>110.5319558216398</v>
          </cell>
          <cell r="G21">
            <v>3.7426386720430114</v>
          </cell>
          <cell r="H21">
            <v>29.832742167204302</v>
          </cell>
          <cell r="I21">
            <v>113.33764521061831</v>
          </cell>
          <cell r="J21">
            <v>214.44810436774185</v>
          </cell>
          <cell r="K21">
            <v>139.71148776209668</v>
          </cell>
        </row>
        <row r="22">
          <cell r="B22">
            <v>11.011841666801077</v>
          </cell>
          <cell r="C22">
            <v>0</v>
          </cell>
          <cell r="D22">
            <v>4.446142231182796E-2</v>
          </cell>
          <cell r="E22">
            <v>99.143465494623683</v>
          </cell>
          <cell r="F22">
            <v>123.04887941693548</v>
          </cell>
          <cell r="G22">
            <v>124.05014302311832</v>
          </cell>
          <cell r="H22">
            <v>697.83298324099485</v>
          </cell>
          <cell r="I22">
            <v>1.1897360080645161</v>
          </cell>
          <cell r="J22">
            <v>79.148254375940851</v>
          </cell>
          <cell r="K22">
            <v>86.632713200940884</v>
          </cell>
        </row>
        <row r="24">
          <cell r="B24">
            <v>100.19750017290002</v>
          </cell>
          <cell r="C24">
            <v>249.0939856479998</v>
          </cell>
          <cell r="D24">
            <v>55.090625190200001</v>
          </cell>
          <cell r="E24">
            <v>157.56253414700001</v>
          </cell>
          <cell r="F24">
            <v>82.235775131300002</v>
          </cell>
          <cell r="G24">
            <v>2.7845231720000005</v>
          </cell>
          <cell r="H24">
            <v>22.1955601724</v>
          </cell>
          <cell r="I24">
            <v>84.323208036700009</v>
          </cell>
          <cell r="J24">
            <v>159.54938964959993</v>
          </cell>
          <cell r="K24">
            <v>103.94534689499994</v>
          </cell>
        </row>
        <row r="25">
          <cell r="B25">
            <v>8.1928102001000003</v>
          </cell>
          <cell r="C25">
            <v>0</v>
          </cell>
          <cell r="D25">
            <v>3.3079298200000003E-2</v>
          </cell>
          <cell r="E25">
            <v>73.762738328000026</v>
          </cell>
          <cell r="F25">
            <v>91.548366286199993</v>
          </cell>
          <cell r="G25">
            <v>92.293306409200028</v>
          </cell>
          <cell r="H25">
            <v>519.18773953130017</v>
          </cell>
          <cell r="I25">
            <v>0.88516358999999989</v>
          </cell>
          <cell r="J25">
            <v>58.886301255699998</v>
          </cell>
          <cell r="K25">
            <v>64.454738621500013</v>
          </cell>
        </row>
        <row r="27">
          <cell r="B27">
            <v>0.46935623866795328</v>
          </cell>
          <cell r="C27">
            <v>3.8208885586666157</v>
          </cell>
          <cell r="D27">
            <v>2.5860707152510374</v>
          </cell>
          <cell r="E27">
            <v>2.8669899173352245</v>
          </cell>
          <cell r="F27">
            <v>2.2017033913196338</v>
          </cell>
          <cell r="G27">
            <v>1.285534175544216</v>
          </cell>
          <cell r="H27">
            <v>0.33180684338844818</v>
          </cell>
          <cell r="I27">
            <v>0.91220091532241299</v>
          </cell>
          <cell r="J27">
            <v>0.79005971134549013</v>
          </cell>
          <cell r="K27">
            <v>2.6856934607627965</v>
          </cell>
        </row>
        <row r="28">
          <cell r="B28">
            <v>0.16985019433945195</v>
          </cell>
          <cell r="C28">
            <v>0</v>
          </cell>
          <cell r="D28">
            <v>0</v>
          </cell>
          <cell r="E28">
            <v>1.8496469884576585</v>
          </cell>
          <cell r="F28">
            <v>2.5899573461299248</v>
          </cell>
          <cell r="G28">
            <v>4.549152950771961</v>
          </cell>
          <cell r="H28">
            <v>2.6382680390417961</v>
          </cell>
          <cell r="I28">
            <v>0</v>
          </cell>
          <cell r="J28">
            <v>5.3764480803312553</v>
          </cell>
          <cell r="K28">
            <v>0.25194280691670701</v>
          </cell>
        </row>
        <row r="30">
          <cell r="B30">
            <v>0.70314594052434032</v>
          </cell>
        </row>
        <row r="31">
          <cell r="B31">
            <v>1.9187131783784976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67.44724427188514</v>
          </cell>
          <cell r="C38">
            <v>908.69849225344808</v>
          </cell>
          <cell r="D38">
            <v>142.35619965296328</v>
          </cell>
          <cell r="E38">
            <v>443.05491236511688</v>
          </cell>
          <cell r="F38">
            <v>161.53639883111427</v>
          </cell>
          <cell r="G38">
            <v>3.4825842232893485</v>
          </cell>
          <cell r="H38">
            <v>10.378999180782174</v>
          </cell>
          <cell r="I38">
            <v>84.88358167208051</v>
          </cell>
          <cell r="J38">
            <v>115.06908636450162</v>
          </cell>
          <cell r="K38">
            <v>283.30450789906547</v>
          </cell>
        </row>
        <row r="39">
          <cell r="B39">
            <v>1.1932251968932288</v>
          </cell>
          <cell r="C39">
            <v>0</v>
          </cell>
          <cell r="D39">
            <v>0</v>
          </cell>
          <cell r="E39">
            <v>133.25725492694536</v>
          </cell>
          <cell r="F39">
            <v>255.6056327730135</v>
          </cell>
          <cell r="G39">
            <v>416.80434548005513</v>
          </cell>
          <cell r="H39">
            <v>1365.3633871930706</v>
          </cell>
          <cell r="I39">
            <v>0</v>
          </cell>
          <cell r="J39">
            <v>311.01358667883028</v>
          </cell>
          <cell r="K39">
            <v>15.595174331896516</v>
          </cell>
        </row>
        <row r="41">
          <cell r="B41">
            <v>268.44705717338269</v>
          </cell>
          <cell r="C41">
            <v>385.80211464689518</v>
          </cell>
          <cell r="D41">
            <v>136.48062705577448</v>
          </cell>
          <cell r="E41">
            <v>345.56443350828289</v>
          </cell>
          <cell r="F41">
            <v>456.43781428567377</v>
          </cell>
          <cell r="G41">
            <v>183.98516679759894</v>
          </cell>
          <cell r="H41">
            <v>107.68117562377853</v>
          </cell>
          <cell r="I41">
            <v>182.8179445363285</v>
          </cell>
          <cell r="J41">
            <v>967.70460064662348</v>
          </cell>
          <cell r="K41">
            <v>179.16158564560195</v>
          </cell>
        </row>
        <row r="42">
          <cell r="B42">
            <v>42.192502792543166</v>
          </cell>
          <cell r="C42">
            <v>0</v>
          </cell>
          <cell r="D42">
            <v>0.1726841860540648</v>
          </cell>
          <cell r="E42">
            <v>246.61220481698831</v>
          </cell>
          <cell r="F42">
            <v>540.25206963603353</v>
          </cell>
          <cell r="G42">
            <v>406.57532249840358</v>
          </cell>
          <cell r="H42">
            <v>2057.6280124931013</v>
          </cell>
          <cell r="I42">
            <v>3.4153094575137257</v>
          </cell>
          <cell r="J42">
            <v>221.59218497093272</v>
          </cell>
          <cell r="K42">
            <v>98.98641287254668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3">
        <row r="13">
          <cell r="H13">
            <v>720</v>
          </cell>
          <cell r="I13">
            <v>8.2191780821917804E-2</v>
          </cell>
        </row>
        <row r="21">
          <cell r="B21">
            <v>151.51367718222215</v>
          </cell>
          <cell r="C21">
            <v>291.10610508388896</v>
          </cell>
          <cell r="D21">
            <v>74.333347161111092</v>
          </cell>
          <cell r="E21">
            <v>240.8026342552777</v>
          </cell>
          <cell r="F21">
            <v>72.603904304305544</v>
          </cell>
          <cell r="G21">
            <v>3.1133475587499992</v>
          </cell>
          <cell r="H21">
            <v>21.201306341944441</v>
          </cell>
          <cell r="I21">
            <v>122.73407223361109</v>
          </cell>
          <cell r="J21">
            <v>270.39435105125</v>
          </cell>
          <cell r="K21">
            <v>80.315170055555555</v>
          </cell>
        </row>
        <row r="22">
          <cell r="B22">
            <v>10.559502991944443</v>
          </cell>
          <cell r="C22">
            <v>0</v>
          </cell>
          <cell r="D22">
            <v>4.5145018194444456E-2</v>
          </cell>
          <cell r="E22">
            <v>54.405729167361123</v>
          </cell>
          <cell r="F22">
            <v>122.40659689638888</v>
          </cell>
          <cell r="G22">
            <v>123.26866957444447</v>
          </cell>
          <cell r="H22">
            <v>703.25249635416674</v>
          </cell>
          <cell r="I22">
            <v>1.1698767083333335</v>
          </cell>
          <cell r="J22">
            <v>86.207596302638891</v>
          </cell>
          <cell r="K22">
            <v>72.377548339722239</v>
          </cell>
        </row>
        <row r="24">
          <cell r="B24">
            <v>109.08984757119995</v>
          </cell>
          <cell r="C24">
            <v>209.59639566040008</v>
          </cell>
          <cell r="D24">
            <v>53.520009955999988</v>
          </cell>
          <cell r="E24">
            <v>173.37789666379993</v>
          </cell>
          <cell r="F24">
            <v>52.274811099099992</v>
          </cell>
          <cell r="G24">
            <v>2.2416102422999993</v>
          </cell>
          <cell r="H24">
            <v>15.264940566199998</v>
          </cell>
          <cell r="I24">
            <v>88.368532008199978</v>
          </cell>
          <cell r="J24">
            <v>194.68393275689999</v>
          </cell>
          <cell r="K24">
            <v>57.826922440000004</v>
          </cell>
        </row>
        <row r="25">
          <cell r="B25">
            <v>7.6028421541999993</v>
          </cell>
          <cell r="C25">
            <v>0</v>
          </cell>
          <cell r="D25">
            <v>3.2504413100000011E-2</v>
          </cell>
          <cell r="E25">
            <v>39.17212500050001</v>
          </cell>
          <cell r="F25">
            <v>88.132749765399993</v>
          </cell>
          <cell r="G25">
            <v>88.753442093600029</v>
          </cell>
          <cell r="H25">
            <v>506.341797375</v>
          </cell>
          <cell r="I25">
            <v>0.84231123000000008</v>
          </cell>
          <cell r="J25">
            <v>62.069469337900003</v>
          </cell>
          <cell r="K25">
            <v>52.111834804600008</v>
          </cell>
        </row>
        <row r="27">
          <cell r="B27">
            <v>0.54195214129047953</v>
          </cell>
          <cell r="C27">
            <v>3.9312776237470466</v>
          </cell>
          <cell r="D27">
            <v>3.2538383781726981</v>
          </cell>
          <cell r="E27">
            <v>3.1519268111667058</v>
          </cell>
          <cell r="F27">
            <v>2.0344158416899769</v>
          </cell>
          <cell r="G27">
            <v>1.2496182814592849</v>
          </cell>
          <cell r="H27">
            <v>0.34986052358719311</v>
          </cell>
          <cell r="I27">
            <v>1.1618206375774116</v>
          </cell>
          <cell r="J27">
            <v>0.81816855063303817</v>
          </cell>
          <cell r="K27">
            <v>2.433063474849547</v>
          </cell>
        </row>
        <row r="28">
          <cell r="B28">
            <v>6.0484623389317912E-2</v>
          </cell>
          <cell r="C28">
            <v>0</v>
          </cell>
          <cell r="D28">
            <v>0</v>
          </cell>
          <cell r="E28">
            <v>1.5903451779180515</v>
          </cell>
          <cell r="F28">
            <v>2.416480628141719</v>
          </cell>
          <cell r="G28">
            <v>4.5017767943984834</v>
          </cell>
          <cell r="H28">
            <v>2.4899704401787681</v>
          </cell>
          <cell r="I28">
            <v>0</v>
          </cell>
          <cell r="J28">
            <v>5.5481721561011605</v>
          </cell>
          <cell r="K28">
            <v>0.79792454021668613</v>
          </cell>
        </row>
        <row r="30">
          <cell r="B30">
            <v>0.69958025594998796</v>
          </cell>
        </row>
        <row r="31">
          <cell r="B31">
            <v>1.9461864331381791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72.302016080241444</v>
          </cell>
          <cell r="C38">
            <v>772.02630589104069</v>
          </cell>
          <cell r="D38">
            <v>173.47937905867315</v>
          </cell>
          <cell r="E38">
            <v>529.67354227148951</v>
          </cell>
          <cell r="F38">
            <v>82.899998190429017</v>
          </cell>
          <cell r="G38">
            <v>3.7728906257885773</v>
          </cell>
          <cell r="H38">
            <v>7.7002403868325109</v>
          </cell>
          <cell r="I38">
            <v>100.41271157612086</v>
          </cell>
          <cell r="J38">
            <v>161.17612451941329</v>
          </cell>
          <cell r="K38">
            <v>157.76773116502591</v>
          </cell>
        </row>
        <row r="39">
          <cell r="B39">
            <v>0.45701306919819212</v>
          </cell>
          <cell r="C39">
            <v>0</v>
          </cell>
          <cell r="D39">
            <v>0</v>
          </cell>
          <cell r="E39">
            <v>62.704709950204936</v>
          </cell>
          <cell r="F39">
            <v>224.219503733837</v>
          </cell>
          <cell r="G39">
            <v>400.02098639259754</v>
          </cell>
          <cell r="H39">
            <v>1256.806348014477</v>
          </cell>
          <cell r="I39">
            <v>0</v>
          </cell>
          <cell r="J39">
            <v>339.23039277264735</v>
          </cell>
          <cell r="K39">
            <v>36.439098140237306</v>
          </cell>
        </row>
        <row r="41">
          <cell r="B41">
            <v>267.08575011658638</v>
          </cell>
          <cell r="C41">
            <v>383.8456948346394</v>
          </cell>
          <cell r="D41">
            <v>135.7885276798927</v>
          </cell>
          <cell r="E41">
            <v>343.81206078024496</v>
          </cell>
          <cell r="F41">
            <v>454.1231976751647</v>
          </cell>
          <cell r="G41">
            <v>183.05216977187382</v>
          </cell>
          <cell r="H41">
            <v>107.13511955669301</v>
          </cell>
          <cell r="I41">
            <v>181.89086654699688</v>
          </cell>
          <cell r="J41">
            <v>962.79732725117083</v>
          </cell>
          <cell r="K41">
            <v>178.25304921605695</v>
          </cell>
        </row>
        <row r="42">
          <cell r="B42">
            <v>36.043372741719068</v>
          </cell>
          <cell r="C42">
            <v>0</v>
          </cell>
          <cell r="D42">
            <v>0.17515677898243609</v>
          </cell>
          <cell r="E42">
            <v>248.8783210697103</v>
          </cell>
          <cell r="F42">
            <v>490.69198538712908</v>
          </cell>
          <cell r="G42">
            <v>396.20463405827053</v>
          </cell>
          <cell r="H42">
            <v>2093.2402800260993</v>
          </cell>
          <cell r="I42">
            <v>3.2306694790093768</v>
          </cell>
          <cell r="J42">
            <v>229.20237623068334</v>
          </cell>
          <cell r="K42">
            <v>101.41577503083053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4">
        <row r="13">
          <cell r="H13">
            <v>744</v>
          </cell>
          <cell r="I13">
            <v>8.4931506849315067E-2</v>
          </cell>
        </row>
        <row r="21">
          <cell r="B21">
            <v>189.45085588629021</v>
          </cell>
          <cell r="C21">
            <v>311.68000611465044</v>
          </cell>
          <cell r="D21">
            <v>114.99051538978493</v>
          </cell>
          <cell r="E21">
            <v>298.44508513440871</v>
          </cell>
          <cell r="F21">
            <v>77.805200841397848</v>
          </cell>
          <cell r="G21">
            <v>3.2853512022849465</v>
          </cell>
          <cell r="H21">
            <v>7.7212549342741932</v>
          </cell>
          <cell r="I21">
            <v>58.609270336021481</v>
          </cell>
          <cell r="J21">
            <v>206.58310795900533</v>
          </cell>
          <cell r="K21">
            <v>126.87273931317205</v>
          </cell>
        </row>
        <row r="22">
          <cell r="B22">
            <v>10.886970666666667</v>
          </cell>
          <cell r="C22">
            <v>0</v>
          </cell>
          <cell r="D22">
            <v>8.7775208602150559E-2</v>
          </cell>
          <cell r="E22">
            <v>50.99704765967742</v>
          </cell>
          <cell r="F22">
            <v>114.8236444560484</v>
          </cell>
          <cell r="G22">
            <v>122.76441690981181</v>
          </cell>
          <cell r="H22">
            <v>715.45540210779575</v>
          </cell>
          <cell r="I22">
            <v>1.1475646102150536</v>
          </cell>
          <cell r="J22">
            <v>80.409651886021507</v>
          </cell>
          <cell r="K22">
            <v>50.997047659677428</v>
          </cell>
        </row>
        <row r="24">
          <cell r="B24">
            <v>140.95143677939993</v>
          </cell>
          <cell r="C24">
            <v>231.88992454929993</v>
          </cell>
          <cell r="D24">
            <v>85.552943449999987</v>
          </cell>
          <cell r="E24">
            <v>222.04314334000006</v>
          </cell>
          <cell r="F24">
            <v>57.887069426000004</v>
          </cell>
          <cell r="G24">
            <v>2.4443012945000002</v>
          </cell>
          <cell r="H24">
            <v>5.7446136710999998</v>
          </cell>
          <cell r="I24">
            <v>43.605297129999983</v>
          </cell>
          <cell r="J24">
            <v>153.69783232149996</v>
          </cell>
          <cell r="K24">
            <v>94.393318049000015</v>
          </cell>
        </row>
        <row r="25">
          <cell r="B25">
            <v>8.0999061759999993</v>
          </cell>
          <cell r="C25">
            <v>0</v>
          </cell>
          <cell r="D25">
            <v>6.5304755200000023E-2</v>
          </cell>
          <cell r="E25">
            <v>37.941803458800003</v>
          </cell>
          <cell r="F25">
            <v>85.428791475300002</v>
          </cell>
          <cell r="G25">
            <v>91.336726180899987</v>
          </cell>
          <cell r="H25">
            <v>532.2988191682</v>
          </cell>
          <cell r="I25">
            <v>0.8537880699999999</v>
          </cell>
          <cell r="J25">
            <v>59.824781003199995</v>
          </cell>
          <cell r="K25">
            <v>37.94180345880001</v>
          </cell>
        </row>
        <row r="27">
          <cell r="B27">
            <v>1.5390947081929938</v>
          </cell>
          <cell r="C27">
            <v>3.4502150219995089</v>
          </cell>
          <cell r="D27">
            <v>3.173964155212738</v>
          </cell>
          <cell r="E27">
            <v>2.8202719424554323</v>
          </cell>
          <cell r="F27">
            <v>0.48171193926204742</v>
          </cell>
          <cell r="G27">
            <v>1.1031434467180226</v>
          </cell>
          <cell r="H27">
            <v>3.3544977128095718E-2</v>
          </cell>
          <cell r="I27">
            <v>4.2091694586018127</v>
          </cell>
          <cell r="J27">
            <v>0.55979387360534427</v>
          </cell>
          <cell r="K27">
            <v>2.9833984266679425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1.3557208505625042</v>
          </cell>
          <cell r="F28">
            <v>2.1461160123247174</v>
          </cell>
          <cell r="G28">
            <v>3.8387624499380433</v>
          </cell>
          <cell r="H28">
            <v>3.3267960815982112</v>
          </cell>
          <cell r="I28">
            <v>0</v>
          </cell>
          <cell r="J28">
            <v>6.434216706667045</v>
          </cell>
          <cell r="K28">
            <v>1.7411524843398687</v>
          </cell>
        </row>
        <row r="30">
          <cell r="B30">
            <v>0.65511769328846492</v>
          </cell>
        </row>
        <row r="31">
          <cell r="B31">
            <v>1.8587560977189277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215.30693341807694</v>
          </cell>
          <cell r="C38">
            <v>777.48179686979961</v>
          </cell>
          <cell r="D38">
            <v>271.00994025687845</v>
          </cell>
          <cell r="E38">
            <v>626.33898713510814</v>
          </cell>
          <cell r="F38">
            <v>68.432996491093732</v>
          </cell>
          <cell r="G38">
            <v>2.8382135624611</v>
          </cell>
          <cell r="H38">
            <v>3.570700960944361</v>
          </cell>
          <cell r="I38">
            <v>101.19373418890663</v>
          </cell>
          <cell r="J38">
            <v>85.651707690083228</v>
          </cell>
          <cell r="K38">
            <v>281.43861478517562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52.764819672989056</v>
          </cell>
          <cell r="F39">
            <v>188.27565356302136</v>
          </cell>
          <cell r="G39">
            <v>347.92259662190787</v>
          </cell>
          <cell r="H39">
            <v>1736.558443710763</v>
          </cell>
          <cell r="I39">
            <v>0</v>
          </cell>
          <cell r="J39">
            <v>376.94174261263629</v>
          </cell>
          <cell r="K39">
            <v>36.157411153554747</v>
          </cell>
        </row>
        <row r="41">
          <cell r="B41">
            <v>250.11083294367015</v>
          </cell>
          <cell r="C41">
            <v>359.44997595351498</v>
          </cell>
          <cell r="D41">
            <v>127.15834426729107</v>
          </cell>
          <cell r="E41">
            <v>321.96072182919005</v>
          </cell>
          <cell r="F41">
            <v>425.26091781384366</v>
          </cell>
          <cell r="G41">
            <v>177.90376078941549</v>
          </cell>
          <cell r="H41">
            <v>100.32603378558206</v>
          </cell>
          <cell r="I41">
            <v>170.33060025500092</v>
          </cell>
          <cell r="J41">
            <v>901.60572538824999</v>
          </cell>
          <cell r="K41">
            <v>166.92398824990087</v>
          </cell>
        </row>
        <row r="42">
          <cell r="B42">
            <v>40.204894393660403</v>
          </cell>
          <cell r="C42">
            <v>0</v>
          </cell>
          <cell r="D42">
            <v>9.2937804885946398E-2</v>
          </cell>
          <cell r="E42">
            <v>223.70129636047292</v>
          </cell>
          <cell r="F42">
            <v>457.923152234035</v>
          </cell>
          <cell r="G42">
            <v>369.26048637284219</v>
          </cell>
          <cell r="H42">
            <v>1967.0658155330095</v>
          </cell>
          <cell r="I42">
            <v>3.3085858539396908</v>
          </cell>
          <cell r="J42">
            <v>220.02095928698944</v>
          </cell>
          <cell r="K42">
            <v>96.060515130114197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5">
        <row r="13">
          <cell r="H13">
            <v>720</v>
          </cell>
          <cell r="I13">
            <v>8.2191780821917818E-2</v>
          </cell>
        </row>
        <row r="21">
          <cell r="B21">
            <v>174.62618055555555</v>
          </cell>
          <cell r="C21">
            <v>312.0602777777778</v>
          </cell>
          <cell r="D21">
            <v>136.91381944444447</v>
          </cell>
          <cell r="E21">
            <v>389.96513888888893</v>
          </cell>
          <cell r="F21">
            <v>50.520694444444437</v>
          </cell>
          <cell r="G21">
            <v>38.866666666666667</v>
          </cell>
          <cell r="H21">
            <v>0</v>
          </cell>
          <cell r="I21">
            <v>72.208333333333329</v>
          </cell>
          <cell r="J21">
            <v>23.608124999999998</v>
          </cell>
          <cell r="K21">
            <v>194.81847222222228</v>
          </cell>
        </row>
        <row r="22">
          <cell r="B22">
            <v>62.328472222222231</v>
          </cell>
          <cell r="C22">
            <v>0</v>
          </cell>
          <cell r="D22">
            <v>0</v>
          </cell>
          <cell r="E22">
            <v>66.094374999999999</v>
          </cell>
          <cell r="F22">
            <v>98.827500000000001</v>
          </cell>
          <cell r="G22">
            <v>154.19347222222225</v>
          </cell>
          <cell r="H22">
            <v>905.13868055555554</v>
          </cell>
          <cell r="I22">
            <v>0</v>
          </cell>
          <cell r="J22">
            <v>101.03340277777777</v>
          </cell>
          <cell r="K22">
            <v>6.161041666666665</v>
          </cell>
        </row>
        <row r="24">
          <cell r="B24">
            <v>125.73084999999999</v>
          </cell>
          <cell r="C24">
            <v>224.68340000000003</v>
          </cell>
          <cell r="D24">
            <v>98.577950000000016</v>
          </cell>
          <cell r="E24">
            <v>280.7749</v>
          </cell>
          <cell r="F24">
            <v>36.374899999999997</v>
          </cell>
          <cell r="G24">
            <v>27.984000000000002</v>
          </cell>
          <cell r="H24">
            <v>0</v>
          </cell>
          <cell r="I24">
            <v>51.99</v>
          </cell>
          <cell r="J24">
            <v>16.99785</v>
          </cell>
          <cell r="K24">
            <v>140.26930000000004</v>
          </cell>
        </row>
        <row r="25">
          <cell r="B25">
            <v>44.876500000000007</v>
          </cell>
          <cell r="C25">
            <v>0</v>
          </cell>
          <cell r="D25">
            <v>0</v>
          </cell>
          <cell r="E25">
            <v>47.587950000000006</v>
          </cell>
          <cell r="F25">
            <v>71.155799999999999</v>
          </cell>
          <cell r="G25">
            <v>111.01930000000002</v>
          </cell>
          <cell r="H25">
            <v>651.69984999999997</v>
          </cell>
          <cell r="I25">
            <v>0</v>
          </cell>
          <cell r="J25">
            <v>72.744049999999987</v>
          </cell>
          <cell r="K25">
            <v>4.4359499999999992</v>
          </cell>
        </row>
        <row r="27">
          <cell r="B27">
            <v>2.3948593152890361</v>
          </cell>
          <cell r="C27">
            <v>3.304086072195187</v>
          </cell>
          <cell r="D27">
            <v>3.8942336378464257</v>
          </cell>
          <cell r="E27">
            <v>2.7192187976304285</v>
          </cell>
          <cell r="F27">
            <v>0.81909390587895214</v>
          </cell>
          <cell r="G27">
            <v>1.3904784401464363</v>
          </cell>
          <cell r="H27">
            <v>0</v>
          </cell>
          <cell r="I27">
            <v>0.43587179651214158</v>
          </cell>
          <cell r="J27">
            <v>0.13806164764672366</v>
          </cell>
          <cell r="K27">
            <v>4.7438488720976677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1.0297683214809299</v>
          </cell>
          <cell r="F28">
            <v>2.0292274370810426</v>
          </cell>
          <cell r="G28">
            <v>3.0440434449610168</v>
          </cell>
          <cell r="H28">
            <v>3.6831877724817628</v>
          </cell>
          <cell r="I28">
            <v>0</v>
          </cell>
          <cell r="J28">
            <v>6.9080615035099262</v>
          </cell>
          <cell r="K28">
            <v>1.0850337219603055</v>
          </cell>
        </row>
        <row r="30">
          <cell r="B30">
            <v>0.49397435524377381</v>
          </cell>
        </row>
        <row r="31">
          <cell r="B31">
            <v>1.3695991848954414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302.57623458468782</v>
          </cell>
          <cell r="C38">
            <v>717.6079255810123</v>
          </cell>
          <cell r="D38">
            <v>373.2192248411518</v>
          </cell>
          <cell r="E38">
            <v>754.43157486520477</v>
          </cell>
          <cell r="F38">
            <v>46.581831263657406</v>
          </cell>
          <cell r="G38">
            <v>39.778634510263501</v>
          </cell>
          <cell r="H38">
            <v>0</v>
          </cell>
          <cell r="I38">
            <v>51.974264819166045</v>
          </cell>
          <cell r="J38">
            <v>15.149228472979694</v>
          </cell>
          <cell r="K38">
            <v>645.42952063354198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44.924373509311579</v>
          </cell>
          <cell r="F39">
            <v>138.75534819579539</v>
          </cell>
          <cell r="G39">
            <v>332.71855490794013</v>
          </cell>
          <cell r="H39">
            <v>2302.9167197405518</v>
          </cell>
          <cell r="I39">
            <v>0</v>
          </cell>
          <cell r="J39">
            <v>493.80111323673771</v>
          </cell>
          <cell r="K39">
            <v>3.4280140899211409</v>
          </cell>
        </row>
        <row r="41">
          <cell r="B41">
            <v>188.58952934496801</v>
          </cell>
          <cell r="C41">
            <v>271.03384923515387</v>
          </cell>
          <cell r="D41">
            <v>95.880422352816524</v>
          </cell>
          <cell r="E41">
            <v>242.76605808197075</v>
          </cell>
          <cell r="F41">
            <v>370.05430350332028</v>
          </cell>
          <cell r="G41">
            <v>134.14367590999922</v>
          </cell>
          <cell r="H41">
            <v>75.648220710742009</v>
          </cell>
          <cell r="I41">
            <v>128.4333323633812</v>
          </cell>
          <cell r="J41">
            <v>679.83220640424383</v>
          </cell>
          <cell r="K41">
            <v>125.86466571611359</v>
          </cell>
        </row>
        <row r="42">
          <cell r="B42">
            <v>35.03434714962539</v>
          </cell>
          <cell r="C42">
            <v>0</v>
          </cell>
          <cell r="D42">
            <v>0.12326392664058974</v>
          </cell>
          <cell r="E42">
            <v>190.38798269231529</v>
          </cell>
          <cell r="F42">
            <v>307.28327312314133</v>
          </cell>
          <cell r="G42">
            <v>369.69590797882637</v>
          </cell>
          <cell r="H42">
            <v>1423.342256910739</v>
          </cell>
          <cell r="I42">
            <v>2.0543987773431618</v>
          </cell>
          <cell r="J42">
            <v>200.71476054642693</v>
          </cell>
          <cell r="K42">
            <v>73.780308090317448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6">
        <row r="13">
          <cell r="H13">
            <v>744</v>
          </cell>
          <cell r="I13">
            <v>8.4931506849315094E-2</v>
          </cell>
        </row>
        <row r="21">
          <cell r="B21">
            <v>174.89314516129031</v>
          </cell>
          <cell r="C21">
            <v>320.73561827956985</v>
          </cell>
          <cell r="D21">
            <v>138.07600806451615</v>
          </cell>
          <cell r="E21">
            <v>390.60255376344094</v>
          </cell>
          <cell r="F21">
            <v>50.579905913978493</v>
          </cell>
          <cell r="G21">
            <v>38.677419354838712</v>
          </cell>
          <cell r="H21">
            <v>0</v>
          </cell>
          <cell r="I21">
            <v>82.435483870967744</v>
          </cell>
          <cell r="J21">
            <v>26.291733870967747</v>
          </cell>
          <cell r="K21">
            <v>195.61915322580649</v>
          </cell>
        </row>
        <row r="22">
          <cell r="B22">
            <v>62.797379032258064</v>
          </cell>
          <cell r="C22">
            <v>0</v>
          </cell>
          <cell r="D22">
            <v>0</v>
          </cell>
          <cell r="E22">
            <v>67.512096774193552</v>
          </cell>
          <cell r="F22">
            <v>101.71095430107526</v>
          </cell>
          <cell r="G22">
            <v>157.26646505376345</v>
          </cell>
          <cell r="H22">
            <v>919.90053763440858</v>
          </cell>
          <cell r="I22">
            <v>0</v>
          </cell>
          <cell r="J22">
            <v>102.44254032258064</v>
          </cell>
          <cell r="K22">
            <v>6.4448252688172039</v>
          </cell>
        </row>
        <row r="24">
          <cell r="B24">
            <v>130.12049999999999</v>
          </cell>
          <cell r="C24">
            <v>238.62729999999999</v>
          </cell>
          <cell r="D24">
            <v>102.72855</v>
          </cell>
          <cell r="E24">
            <v>290.60830000000004</v>
          </cell>
          <cell r="F24">
            <v>37.631449999999994</v>
          </cell>
          <cell r="G24">
            <v>28.776</v>
          </cell>
          <cell r="H24">
            <v>0</v>
          </cell>
          <cell r="I24">
            <v>61.332000000000001</v>
          </cell>
          <cell r="J24">
            <v>19.561050000000002</v>
          </cell>
          <cell r="K24">
            <v>145.54065000000003</v>
          </cell>
        </row>
        <row r="25">
          <cell r="B25">
            <v>46.721249999999998</v>
          </cell>
          <cell r="C25">
            <v>0</v>
          </cell>
          <cell r="D25">
            <v>0</v>
          </cell>
          <cell r="E25">
            <v>50.229000000000006</v>
          </cell>
          <cell r="F25">
            <v>75.67295</v>
          </cell>
          <cell r="G25">
            <v>117.00625000000001</v>
          </cell>
          <cell r="H25">
            <v>684.40599999999995</v>
          </cell>
          <cell r="I25">
            <v>0</v>
          </cell>
          <cell r="J25">
            <v>76.217250000000007</v>
          </cell>
          <cell r="K25">
            <v>4.79495</v>
          </cell>
        </row>
        <row r="27">
          <cell r="B27">
            <v>2.360506701784447</v>
          </cell>
          <cell r="C27">
            <v>3.279563050761976</v>
          </cell>
          <cell r="D27">
            <v>3.8240415128473417</v>
          </cell>
          <cell r="E27">
            <v>2.6847567021779919</v>
          </cell>
          <cell r="F27">
            <v>0.80642151960331754</v>
          </cell>
          <cell r="G27">
            <v>1.3708722928134114</v>
          </cell>
          <cell r="H27">
            <v>0</v>
          </cell>
          <cell r="I27">
            <v>0.48936414385855065</v>
          </cell>
          <cell r="J27">
            <v>0.16032965533167914</v>
          </cell>
          <cell r="K27">
            <v>4.6729866209232656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1.038682764143833</v>
          </cell>
          <cell r="F28">
            <v>2.009527148137443</v>
          </cell>
          <cell r="G28">
            <v>3.0185906540964913</v>
          </cell>
          <cell r="H28">
            <v>3.6080166753556311</v>
          </cell>
          <cell r="I28">
            <v>0</v>
          </cell>
          <cell r="J28">
            <v>6.8682706545147463</v>
          </cell>
          <cell r="K28">
            <v>1.0427124179741183</v>
          </cell>
        </row>
        <row r="30">
          <cell r="B30">
            <v>0.51036707488379307</v>
          </cell>
        </row>
        <row r="31">
          <cell r="B31">
            <v>1.4150498347497447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308.72854795906261</v>
          </cell>
          <cell r="C38">
            <v>757.49322961480902</v>
          </cell>
          <cell r="D38">
            <v>381.97539373175977</v>
          </cell>
          <cell r="E38">
            <v>771.26006073853591</v>
          </cell>
          <cell r="F38">
            <v>47.336549573325584</v>
          </cell>
          <cell r="G38">
            <v>40.398523305539051</v>
          </cell>
          <cell r="H38">
            <v>0</v>
          </cell>
          <cell r="I38">
            <v>60.868360684311824</v>
          </cell>
          <cell r="J38">
            <v>18.179074167575635</v>
          </cell>
          <cell r="K38">
            <v>659.07578532034893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47.905549328818033</v>
          </cell>
          <cell r="F39">
            <v>146.02111486775073</v>
          </cell>
          <cell r="G39">
            <v>347.77825499433305</v>
          </cell>
          <cell r="H39">
            <v>2367.6056568385929</v>
          </cell>
          <cell r="I39">
            <v>0</v>
          </cell>
          <cell r="J39">
            <v>514.56559420916881</v>
          </cell>
          <cell r="K39">
            <v>3.6044975631254244</v>
          </cell>
        </row>
        <row r="41">
          <cell r="B41">
            <v>194.84794184913457</v>
          </cell>
          <cell r="C41">
            <v>280.02820664723964</v>
          </cell>
          <cell r="D41">
            <v>99.062249234944289</v>
          </cell>
          <cell r="E41">
            <v>250.82233850625806</v>
          </cell>
          <cell r="F41">
            <v>382.33469090504872</v>
          </cell>
          <cell r="G41">
            <v>138.59528285544286</v>
          </cell>
          <cell r="H41">
            <v>78.158634581853846</v>
          </cell>
          <cell r="I41">
            <v>132.69543946978621</v>
          </cell>
          <cell r="J41">
            <v>702.39268680882037</v>
          </cell>
          <cell r="K41">
            <v>130.04153068039051</v>
          </cell>
        </row>
        <row r="42">
          <cell r="B42">
            <v>36.196974772898464</v>
          </cell>
          <cell r="C42">
            <v>0</v>
          </cell>
          <cell r="D42">
            <v>0.12735448512747702</v>
          </cell>
          <cell r="E42">
            <v>196.70607752856199</v>
          </cell>
          <cell r="F42">
            <v>317.48058092445274</v>
          </cell>
          <cell r="G42">
            <v>381.96440189399851</v>
          </cell>
          <cell r="H42">
            <v>1470.5763902653246</v>
          </cell>
          <cell r="I42">
            <v>2.1225747521246165</v>
          </cell>
          <cell r="J42">
            <v>207.37555328257503</v>
          </cell>
          <cell r="K42">
            <v>76.228734597968753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7">
        <row r="13">
          <cell r="H13">
            <v>744</v>
          </cell>
          <cell r="I13">
            <v>8.4931506849315053E-2</v>
          </cell>
        </row>
        <row r="21">
          <cell r="B21">
            <v>95.243548387096794</v>
          </cell>
          <cell r="C21">
            <v>36.12069892473118</v>
          </cell>
          <cell r="D21">
            <v>32.794287634408605</v>
          </cell>
          <cell r="E21">
            <v>235.22587365591397</v>
          </cell>
          <cell r="F21">
            <v>263.12728494623656</v>
          </cell>
          <cell r="G21">
            <v>58.06680107526882</v>
          </cell>
          <cell r="H21">
            <v>0.19516129032258067</v>
          </cell>
          <cell r="I21">
            <v>0</v>
          </cell>
          <cell r="J21">
            <v>541.13266129032263</v>
          </cell>
          <cell r="K21">
            <v>97.348185483870978</v>
          </cell>
        </row>
        <row r="22">
          <cell r="B22">
            <v>43.409206989247316</v>
          </cell>
          <cell r="C22">
            <v>0</v>
          </cell>
          <cell r="D22">
            <v>0</v>
          </cell>
          <cell r="E22">
            <v>79.177688172043005</v>
          </cell>
          <cell r="F22">
            <v>60.604032258064521</v>
          </cell>
          <cell r="G22">
            <v>146.1315188172043</v>
          </cell>
          <cell r="H22">
            <v>909.92170698924735</v>
          </cell>
          <cell r="I22">
            <v>0</v>
          </cell>
          <cell r="J22">
            <v>100.74475806451612</v>
          </cell>
          <cell r="K22">
            <v>19.251948924731181</v>
          </cell>
        </row>
        <row r="24">
          <cell r="B24">
            <v>70.861200000000011</v>
          </cell>
          <cell r="C24">
            <v>26.873799999999999</v>
          </cell>
          <cell r="D24">
            <v>24.398949999999999</v>
          </cell>
          <cell r="E24">
            <v>175.00805</v>
          </cell>
          <cell r="F24">
            <v>195.76670000000001</v>
          </cell>
          <cell r="G24">
            <v>43.201700000000002</v>
          </cell>
          <cell r="H24">
            <v>0.14520000000000002</v>
          </cell>
          <cell r="I24">
            <v>0</v>
          </cell>
          <cell r="J24">
            <v>402.60270000000003</v>
          </cell>
          <cell r="K24">
            <v>72.427050000000008</v>
          </cell>
        </row>
        <row r="25">
          <cell r="B25">
            <v>32.29645</v>
          </cell>
          <cell r="C25">
            <v>0</v>
          </cell>
          <cell r="D25">
            <v>0</v>
          </cell>
          <cell r="E25">
            <v>58.908199999999994</v>
          </cell>
          <cell r="F25">
            <v>45.089400000000005</v>
          </cell>
          <cell r="G25">
            <v>108.72185</v>
          </cell>
          <cell r="H25">
            <v>676.98175000000003</v>
          </cell>
          <cell r="I25">
            <v>0</v>
          </cell>
          <cell r="J25">
            <v>74.954099999999997</v>
          </cell>
          <cell r="K25">
            <v>14.323449999999999</v>
          </cell>
        </row>
        <row r="27">
          <cell r="B27">
            <v>4.3670634828786765</v>
          </cell>
          <cell r="C27">
            <v>7.7138200786201363</v>
          </cell>
          <cell r="D27">
            <v>7.4318567121527481</v>
          </cell>
          <cell r="E27">
            <v>5.5628775800255177</v>
          </cell>
          <cell r="F27">
            <v>2.3292750777644433</v>
          </cell>
          <cell r="G27">
            <v>2.0376369354628516</v>
          </cell>
          <cell r="H27">
            <v>3.3215784417519878E-2</v>
          </cell>
          <cell r="I27">
            <v>0</v>
          </cell>
          <cell r="J27">
            <v>0.85716251201939797</v>
          </cell>
          <cell r="K27">
            <v>8.9628057721328265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3.2269885782656402</v>
          </cell>
          <cell r="F28">
            <v>5.5211090730482963</v>
          </cell>
          <cell r="G28">
            <v>5.0589572289672278</v>
          </cell>
          <cell r="H28">
            <v>2.7332920303185255</v>
          </cell>
          <cell r="I28">
            <v>0</v>
          </cell>
          <cell r="J28">
            <v>6.6126210319491943</v>
          </cell>
          <cell r="K28">
            <v>0.83206887326463774</v>
          </cell>
        </row>
        <row r="30">
          <cell r="B30">
            <v>0.50516833796300897</v>
          </cell>
        </row>
        <row r="31">
          <cell r="B31">
            <v>1.4065603777378188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309.15410938388027</v>
          </cell>
          <cell r="C38">
            <v>208.51535842409857</v>
          </cell>
          <cell r="D38">
            <v>178.79076080141485</v>
          </cell>
          <cell r="E38">
            <v>867.52297160213607</v>
          </cell>
          <cell r="F38">
            <v>396.71052806790738</v>
          </cell>
          <cell r="G38">
            <v>86.983870143673371</v>
          </cell>
          <cell r="H38">
            <v>0.10873519186919309</v>
          </cell>
          <cell r="I38">
            <v>0</v>
          </cell>
          <cell r="J38">
            <v>367.06136678163273</v>
          </cell>
          <cell r="K38">
            <v>644.80027719460907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173.78460903486146</v>
          </cell>
          <cell r="F39">
            <v>313.51622503566023</v>
          </cell>
          <cell r="G39">
            <v>593.31207395553122</v>
          </cell>
          <cell r="H39">
            <v>1857.3015930865504</v>
          </cell>
          <cell r="I39">
            <v>0</v>
          </cell>
          <cell r="J39">
            <v>494.1080495432729</v>
          </cell>
          <cell r="K39">
            <v>11.589189097982954</v>
          </cell>
        </row>
        <row r="41">
          <cell r="B41">
            <v>192.86316806751759</v>
          </cell>
          <cell r="C41">
            <v>277.17576367354371</v>
          </cell>
          <cell r="D41">
            <v>98.053174398620072</v>
          </cell>
          <cell r="E41">
            <v>258.26972748824375</v>
          </cell>
          <cell r="F41">
            <v>378.44012644052623</v>
          </cell>
          <cell r="G41">
            <v>137.18351385723474</v>
          </cell>
          <cell r="H41">
            <v>77.362489612331117</v>
          </cell>
          <cell r="I41">
            <v>131.34376787038232</v>
          </cell>
          <cell r="J41">
            <v>695.23792512159105</v>
          </cell>
          <cell r="K41">
            <v>128.71689251297468</v>
          </cell>
        </row>
        <row r="42">
          <cell r="B42">
            <v>35.979814462533405</v>
          </cell>
          <cell r="C42">
            <v>0</v>
          </cell>
          <cell r="D42">
            <v>0.12659043399640368</v>
          </cell>
          <cell r="E42">
            <v>195.52595810933417</v>
          </cell>
          <cell r="F42">
            <v>315.57588634925708</v>
          </cell>
          <cell r="G42">
            <v>379.67284276276939</v>
          </cell>
          <cell r="H42">
            <v>1461.7538069602508</v>
          </cell>
          <cell r="I42">
            <v>2.1098405666067284</v>
          </cell>
          <cell r="J42">
            <v>206.1314233574773</v>
          </cell>
          <cell r="K42">
            <v>75.771407548736292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8">
        <row r="13">
          <cell r="H13">
            <v>672</v>
          </cell>
          <cell r="I13">
            <v>7.6712328767123306E-2</v>
          </cell>
        </row>
        <row r="21">
          <cell r="B21">
            <v>95.854464285714286</v>
          </cell>
          <cell r="C21">
            <v>37.349479166666661</v>
          </cell>
          <cell r="D21">
            <v>32.89129464285714</v>
          </cell>
          <cell r="E21">
            <v>236.29732142857142</v>
          </cell>
          <cell r="F21">
            <v>264.39627976190479</v>
          </cell>
          <cell r="G21">
            <v>57.332812500000003</v>
          </cell>
          <cell r="H21">
            <v>0.18005952380952384</v>
          </cell>
          <cell r="I21">
            <v>0</v>
          </cell>
          <cell r="J21">
            <v>529.01845238095245</v>
          </cell>
          <cell r="K21">
            <v>97.38712797619047</v>
          </cell>
        </row>
        <row r="22">
          <cell r="B22">
            <v>43.710267857142853</v>
          </cell>
          <cell r="C22">
            <v>0</v>
          </cell>
          <cell r="D22">
            <v>0</v>
          </cell>
          <cell r="E22">
            <v>78.613318452380952</v>
          </cell>
          <cell r="F22">
            <v>59.845684523809531</v>
          </cell>
          <cell r="G22">
            <v>144.54040178571427</v>
          </cell>
          <cell r="H22">
            <v>904.65677083333333</v>
          </cell>
          <cell r="I22">
            <v>0</v>
          </cell>
          <cell r="J22">
            <v>100.21860119047618</v>
          </cell>
          <cell r="K22">
            <v>19.109747023809526</v>
          </cell>
        </row>
        <row r="24">
          <cell r="B24">
            <v>64.414199999999994</v>
          </cell>
          <cell r="C24">
            <v>25.098849999999999</v>
          </cell>
          <cell r="D24">
            <v>22.102949999999996</v>
          </cell>
          <cell r="E24">
            <v>158.79179999999999</v>
          </cell>
          <cell r="F24">
            <v>177.67430000000002</v>
          </cell>
          <cell r="G24">
            <v>38.527650000000001</v>
          </cell>
          <cell r="H24">
            <v>0.12100000000000001</v>
          </cell>
          <cell r="I24">
            <v>0</v>
          </cell>
          <cell r="J24">
            <v>355.50040000000007</v>
          </cell>
          <cell r="K24">
            <v>65.444149999999993</v>
          </cell>
        </row>
        <row r="25">
          <cell r="B25">
            <v>29.3733</v>
          </cell>
          <cell r="C25">
            <v>0</v>
          </cell>
          <cell r="D25">
            <v>0</v>
          </cell>
          <cell r="E25">
            <v>52.828150000000001</v>
          </cell>
          <cell r="F25">
            <v>40.216300000000004</v>
          </cell>
          <cell r="G25">
            <v>97.131149999999991</v>
          </cell>
          <cell r="H25">
            <v>607.92935</v>
          </cell>
          <cell r="I25">
            <v>0</v>
          </cell>
          <cell r="J25">
            <v>67.346899999999991</v>
          </cell>
          <cell r="K25">
            <v>12.841749999999999</v>
          </cell>
        </row>
        <row r="27">
          <cell r="B27">
            <v>4.3570495181005855</v>
          </cell>
          <cell r="C27">
            <v>7.6569681171916306</v>
          </cell>
          <cell r="D27">
            <v>7.4766019853285552</v>
          </cell>
          <cell r="E27">
            <v>5.5404935071897299</v>
          </cell>
          <cell r="F27">
            <v>2.3181416121966749</v>
          </cell>
          <cell r="G27">
            <v>2.0370217389201959</v>
          </cell>
          <cell r="H27">
            <v>3.0645515385211791E-2</v>
          </cell>
          <cell r="I27">
            <v>0</v>
          </cell>
          <cell r="J27">
            <v>0.88183062909133791</v>
          </cell>
          <cell r="K27">
            <v>8.9377987940815693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3.1994304702399847</v>
          </cell>
          <cell r="F28">
            <v>5.4837991215476016</v>
          </cell>
          <cell r="G28">
            <v>5.0308294039181121</v>
          </cell>
          <cell r="H28">
            <v>2.7749551168458342</v>
          </cell>
          <cell r="I28">
            <v>0</v>
          </cell>
          <cell r="J28">
            <v>6.6470928731258789</v>
          </cell>
          <cell r="K28">
            <v>0.83164529673217202</v>
          </cell>
        </row>
        <row r="30">
          <cell r="B30">
            <v>0.45341969114226938</v>
          </cell>
        </row>
        <row r="31">
          <cell r="B31">
            <v>1.2703705532220129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279.82862319484275</v>
          </cell>
          <cell r="C38">
            <v>192.34368532292297</v>
          </cell>
          <cell r="D38">
            <v>163.24759923005232</v>
          </cell>
          <cell r="E38">
            <v>783.67521128926421</v>
          </cell>
          <cell r="F38">
            <v>357.99390217392948</v>
          </cell>
          <cell r="G38">
            <v>77.404292201666891</v>
          </cell>
          <cell r="H38">
            <v>9.0612659890994221E-2</v>
          </cell>
          <cell r="I38">
            <v>0</v>
          </cell>
          <cell r="J38">
            <v>328.02728830450792</v>
          </cell>
          <cell r="K38">
            <v>581.06179661303042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154.38555933389651</v>
          </cell>
          <cell r="F39">
            <v>278.71074420031761</v>
          </cell>
          <cell r="G39">
            <v>527.87924294440836</v>
          </cell>
          <cell r="H39">
            <v>1692.8671116721641</v>
          </cell>
          <cell r="I39">
            <v>0</v>
          </cell>
          <cell r="J39">
            <v>446.26502805853443</v>
          </cell>
          <cell r="K39">
            <v>10.386362514193506</v>
          </cell>
        </row>
        <row r="41">
          <cell r="B41">
            <v>173.10656968429564</v>
          </cell>
          <cell r="C41">
            <v>248.78231613594045</v>
          </cell>
          <cell r="D41">
            <v>88.008762050714537</v>
          </cell>
          <cell r="E41">
            <v>245.14352336219162</v>
          </cell>
          <cell r="F41">
            <v>339.67331748940626</v>
          </cell>
          <cell r="G41">
            <v>123.13065132659469</v>
          </cell>
          <cell r="H41">
            <v>69.437598340909432</v>
          </cell>
          <cell r="I41">
            <v>117.88911969699006</v>
          </cell>
          <cell r="J41">
            <v>624.01884993454826</v>
          </cell>
          <cell r="K41">
            <v>115.53133730305026</v>
          </cell>
        </row>
        <row r="42">
          <cell r="B42">
            <v>32.496078751419084</v>
          </cell>
          <cell r="C42">
            <v>0</v>
          </cell>
          <cell r="D42">
            <v>0.11433334978998115</v>
          </cell>
          <cell r="E42">
            <v>176.59421060339201</v>
          </cell>
          <cell r="F42">
            <v>285.02033732089086</v>
          </cell>
          <cell r="G42">
            <v>342.9111234312179</v>
          </cell>
          <cell r="H42">
            <v>1320.2198937304449</v>
          </cell>
          <cell r="I42">
            <v>1.9055558298330193</v>
          </cell>
          <cell r="J42">
            <v>186.17280457468598</v>
          </cell>
          <cell r="K42">
            <v>68.434861702069853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9">
        <row r="13">
          <cell r="H13">
            <v>744</v>
          </cell>
          <cell r="I13">
            <v>8.493150684931508E-2</v>
          </cell>
        </row>
        <row r="21">
          <cell r="B21">
            <v>95.283534946236557</v>
          </cell>
          <cell r="C21">
            <v>35.448857526881724</v>
          </cell>
          <cell r="D21">
            <v>33.00322580645161</v>
          </cell>
          <cell r="E21">
            <v>235.99852150537629</v>
          </cell>
          <cell r="F21">
            <v>261.702688172043</v>
          </cell>
          <cell r="G21">
            <v>56.317540322580648</v>
          </cell>
          <cell r="H21">
            <v>0.16263440860215056</v>
          </cell>
          <cell r="I21">
            <v>0</v>
          </cell>
          <cell r="J21">
            <v>562.29663978494614</v>
          </cell>
          <cell r="K21">
            <v>97.403696236559142</v>
          </cell>
        </row>
        <row r="22">
          <cell r="B22">
            <v>43.329905913978493</v>
          </cell>
          <cell r="C22">
            <v>0</v>
          </cell>
          <cell r="D22">
            <v>0</v>
          </cell>
          <cell r="E22">
            <v>80.429301075268825</v>
          </cell>
          <cell r="F22">
            <v>60.044892473118288</v>
          </cell>
          <cell r="G22">
            <v>148.56942204301077</v>
          </cell>
          <cell r="H22">
            <v>923.58669354838707</v>
          </cell>
          <cell r="I22">
            <v>0</v>
          </cell>
          <cell r="J22">
            <v>102.05336021505376</v>
          </cell>
          <cell r="K22">
            <v>19.599596774193547</v>
          </cell>
        </row>
        <row r="24">
          <cell r="B24">
            <v>70.890950000000004</v>
          </cell>
          <cell r="C24">
            <v>26.373950000000004</v>
          </cell>
          <cell r="D24">
            <v>24.554399999999998</v>
          </cell>
          <cell r="E24">
            <v>175.58289999999997</v>
          </cell>
          <cell r="F24">
            <v>194.70679999999999</v>
          </cell>
          <cell r="G24">
            <v>41.90025</v>
          </cell>
          <cell r="H24">
            <v>0.12100000000000001</v>
          </cell>
          <cell r="I24">
            <v>0</v>
          </cell>
          <cell r="J24">
            <v>418.34869999999995</v>
          </cell>
          <cell r="K24">
            <v>72.468350000000001</v>
          </cell>
        </row>
        <row r="25">
          <cell r="B25">
            <v>32.237449999999995</v>
          </cell>
          <cell r="C25">
            <v>0</v>
          </cell>
          <cell r="D25">
            <v>0</v>
          </cell>
          <cell r="E25">
            <v>59.839400000000005</v>
          </cell>
          <cell r="F25">
            <v>44.673400000000008</v>
          </cell>
          <cell r="G25">
            <v>110.53565</v>
          </cell>
          <cell r="H25">
            <v>687.14850000000001</v>
          </cell>
          <cell r="I25">
            <v>0</v>
          </cell>
          <cell r="J25">
            <v>75.927700000000002</v>
          </cell>
          <cell r="K25">
            <v>14.582099999999999</v>
          </cell>
        </row>
        <row r="27">
          <cell r="B27">
            <v>4.3850203999022872</v>
          </cell>
          <cell r="C27">
            <v>7.7005538681348886</v>
          </cell>
          <cell r="D27">
            <v>7.316910068645007</v>
          </cell>
          <cell r="E27">
            <v>5.5394372707529547</v>
          </cell>
          <cell r="F27">
            <v>2.3121147567834912</v>
          </cell>
          <cell r="G27">
            <v>2.0300728288983727</v>
          </cell>
          <cell r="H27">
            <v>2.7679820347933228E-2</v>
          </cell>
          <cell r="I27">
            <v>0</v>
          </cell>
          <cell r="J27">
            <v>0.85249026864719157</v>
          </cell>
          <cell r="K27">
            <v>8.9290575038947981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3.2045926024658247</v>
          </cell>
          <cell r="F28">
            <v>5.5318994736826452</v>
          </cell>
          <cell r="G28">
            <v>5.0907125608553905</v>
          </cell>
          <cell r="H28">
            <v>2.666595870641729</v>
          </cell>
          <cell r="I28">
            <v>0</v>
          </cell>
          <cell r="J28">
            <v>6.5555895205297601</v>
          </cell>
          <cell r="K28">
            <v>0.83014729982586422</v>
          </cell>
        </row>
        <row r="30">
          <cell r="B30">
            <v>0.50196796387145459</v>
          </cell>
        </row>
        <row r="31">
          <cell r="B31">
            <v>1.4063908833703933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311.1503341968297</v>
          </cell>
          <cell r="C38">
            <v>205.76808613096324</v>
          </cell>
          <cell r="D38">
            <v>177.46884740394725</v>
          </cell>
          <cell r="E38">
            <v>870.21296288928625</v>
          </cell>
          <cell r="F38">
            <v>392.25976216797932</v>
          </cell>
          <cell r="G38">
            <v>83.842190295274463</v>
          </cell>
          <cell r="H38">
            <v>9.0612659890994221E-2</v>
          </cell>
          <cell r="I38">
            <v>0</v>
          </cell>
          <cell r="J38">
            <v>376.09689706712822</v>
          </cell>
          <cell r="K38">
            <v>643.04443617524032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175.2113661280371</v>
          </cell>
          <cell r="F39">
            <v>309.83250529518807</v>
          </cell>
          <cell r="G39">
            <v>604.58259334454897</v>
          </cell>
          <cell r="H39">
            <v>1845.4081696478786</v>
          </cell>
          <cell r="I39">
            <v>0</v>
          </cell>
          <cell r="J39">
            <v>497.12389300915748</v>
          </cell>
          <cell r="K39">
            <v>11.775273661425219</v>
          </cell>
        </row>
        <row r="41">
          <cell r="B41">
            <v>191.64132924684401</v>
          </cell>
          <cell r="C41">
            <v>275.41978241698979</v>
          </cell>
          <cell r="D41">
            <v>97.431981787449374</v>
          </cell>
          <cell r="E41">
            <v>271.39137907396923</v>
          </cell>
          <cell r="F41">
            <v>376.04260885114508</v>
          </cell>
          <cell r="G41">
            <v>136.31442026893225</v>
          </cell>
          <cell r="H41">
            <v>76.872377923202322</v>
          </cell>
          <cell r="I41">
            <v>130.51167060657821</v>
          </cell>
          <cell r="J41">
            <v>690.83341027808956</v>
          </cell>
          <cell r="K41">
            <v>127.90143719444666</v>
          </cell>
        </row>
        <row r="42">
          <cell r="B42">
            <v>35.975478796614659</v>
          </cell>
          <cell r="C42">
            <v>0</v>
          </cell>
          <cell r="D42">
            <v>0.12657517950333541</v>
          </cell>
          <cell r="E42">
            <v>195.5023966973184</v>
          </cell>
          <cell r="F42">
            <v>315.53785859298148</v>
          </cell>
          <cell r="G42">
            <v>379.62709114817017</v>
          </cell>
          <cell r="H42">
            <v>1461.5776616338478</v>
          </cell>
          <cell r="I42">
            <v>2.1095863250555902</v>
          </cell>
          <cell r="J42">
            <v>206.10658395793109</v>
          </cell>
          <cell r="K42">
            <v>75.762276887163097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10">
        <row r="13">
          <cell r="H13">
            <v>720</v>
          </cell>
          <cell r="I13">
            <v>8.2191780821917804E-2</v>
          </cell>
        </row>
        <row r="21">
          <cell r="B21">
            <v>94.935694444444465</v>
          </cell>
          <cell r="C21">
            <v>35.475138888888893</v>
          </cell>
          <cell r="D21">
            <v>32.752499999999998</v>
          </cell>
          <cell r="E21">
            <v>234.71055555555552</v>
          </cell>
          <cell r="F21">
            <v>262.435</v>
          </cell>
          <cell r="G21">
            <v>58.377083333333331</v>
          </cell>
          <cell r="H21">
            <v>0.20166666666666669</v>
          </cell>
          <cell r="I21">
            <v>0</v>
          </cell>
          <cell r="J21">
            <v>548.00638888888886</v>
          </cell>
          <cell r="K21">
            <v>97.330416666666679</v>
          </cell>
        </row>
        <row r="22">
          <cell r="B22">
            <v>43.254027777777779</v>
          </cell>
          <cell r="C22">
            <v>0</v>
          </cell>
          <cell r="D22">
            <v>0</v>
          </cell>
          <cell r="E22">
            <v>79.507222222222225</v>
          </cell>
          <cell r="F22">
            <v>60.968333333333327</v>
          </cell>
          <cell r="G22">
            <v>147.02236111111111</v>
          </cell>
          <cell r="H22">
            <v>913.06555555555553</v>
          </cell>
          <cell r="I22">
            <v>0</v>
          </cell>
          <cell r="J22">
            <v>101.05694444444444</v>
          </cell>
          <cell r="K22">
            <v>19.336111111111109</v>
          </cell>
        </row>
        <row r="24">
          <cell r="B24">
            <v>68.353700000000018</v>
          </cell>
          <cell r="C24">
            <v>25.542100000000001</v>
          </cell>
          <cell r="D24">
            <v>23.581799999999998</v>
          </cell>
          <cell r="E24">
            <v>168.99159999999998</v>
          </cell>
          <cell r="F24">
            <v>188.95320000000001</v>
          </cell>
          <cell r="G24">
            <v>42.031500000000001</v>
          </cell>
          <cell r="H24">
            <v>0.14520000000000002</v>
          </cell>
          <cell r="I24">
            <v>0</v>
          </cell>
          <cell r="J24">
            <v>394.56459999999998</v>
          </cell>
          <cell r="K24">
            <v>70.077900000000014</v>
          </cell>
        </row>
        <row r="25">
          <cell r="B25">
            <v>31.142900000000001</v>
          </cell>
          <cell r="C25">
            <v>0</v>
          </cell>
          <cell r="D25">
            <v>0</v>
          </cell>
          <cell r="E25">
            <v>57.245199999999997</v>
          </cell>
          <cell r="F25">
            <v>43.897199999999998</v>
          </cell>
          <cell r="G25">
            <v>105.85610000000001</v>
          </cell>
          <cell r="H25">
            <v>657.40719999999999</v>
          </cell>
          <cell r="I25">
            <v>0</v>
          </cell>
          <cell r="J25">
            <v>72.760999999999996</v>
          </cell>
          <cell r="K25">
            <v>13.921999999999999</v>
          </cell>
        </row>
        <row r="27">
          <cell r="B27">
            <v>4.3727616983005024</v>
          </cell>
          <cell r="C27">
            <v>7.7421346844901118</v>
          </cell>
          <cell r="D27">
            <v>7.4051796179928564</v>
          </cell>
          <cell r="E27">
            <v>5.573387653520415</v>
          </cell>
          <cell r="F27">
            <v>2.3343099055881162</v>
          </cell>
          <cell r="G27">
            <v>2.0376833995844459</v>
          </cell>
          <cell r="H27">
            <v>3.4322977231437207E-2</v>
          </cell>
          <cell r="I27">
            <v>0</v>
          </cell>
          <cell r="J27">
            <v>0.84451148829875677</v>
          </cell>
          <cell r="K27">
            <v>8.9742825290272705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3.2401544055489149</v>
          </cell>
          <cell r="F28">
            <v>5.5403738873895119</v>
          </cell>
          <cell r="G28">
            <v>5.0743082808435407</v>
          </cell>
          <cell r="H28">
            <v>2.7098653142572666</v>
          </cell>
          <cell r="I28">
            <v>0</v>
          </cell>
          <cell r="J28">
            <v>6.5931731656202048</v>
          </cell>
          <cell r="K28">
            <v>0.83221598457530732</v>
          </cell>
        </row>
        <row r="30">
          <cell r="B30">
            <v>0.48584570209570116</v>
          </cell>
        </row>
        <row r="31">
          <cell r="B31">
            <v>1.3612202676883587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298.92762566787513</v>
          </cell>
          <cell r="C38">
            <v>199.52251439919783</v>
          </cell>
          <cell r="D38">
            <v>172.02438011466219</v>
          </cell>
          <cell r="E38">
            <v>839.57201320511103</v>
          </cell>
          <cell r="F38">
            <v>383.938966313126</v>
          </cell>
          <cell r="G38">
            <v>84.701561393318158</v>
          </cell>
          <cell r="H38">
            <v>0.10873519186919309</v>
          </cell>
          <cell r="I38">
            <v>0</v>
          </cell>
          <cell r="J38">
            <v>357.4317860685959</v>
          </cell>
          <cell r="K38">
            <v>624.66668923865529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169.62698292372454</v>
          </cell>
          <cell r="F39">
            <v>305.69973049450277</v>
          </cell>
          <cell r="G39">
            <v>578.90243431750264</v>
          </cell>
          <cell r="H39">
            <v>1788.684789577233</v>
          </cell>
          <cell r="I39">
            <v>0</v>
          </cell>
          <cell r="J39">
            <v>478.28547542000246</v>
          </cell>
          <cell r="K39">
            <v>11.265742899986892</v>
          </cell>
        </row>
        <row r="41">
          <cell r="B41">
            <v>185.48617214609681</v>
          </cell>
          <cell r="C41">
            <v>266.57381982586935</v>
          </cell>
          <cell r="D41">
            <v>94.302650776775593</v>
          </cell>
          <cell r="E41">
            <v>262.67480118049684</v>
          </cell>
          <cell r="F41">
            <v>363.96483135320091</v>
          </cell>
          <cell r="G41">
            <v>131.9362588611086</v>
          </cell>
          <cell r="H41">
            <v>74.403382510339853</v>
          </cell>
          <cell r="I41">
            <v>126.3198825448823</v>
          </cell>
          <cell r="J41">
            <v>668.64514750920864</v>
          </cell>
          <cell r="K41">
            <v>123.79348489398465</v>
          </cell>
        </row>
        <row r="42">
          <cell r="B42">
            <v>34.820014447468211</v>
          </cell>
          <cell r="C42">
            <v>0</v>
          </cell>
          <cell r="D42">
            <v>0.12250982409195228</v>
          </cell>
          <cell r="E42">
            <v>189.22322941135874</v>
          </cell>
          <cell r="F42">
            <v>305.40337925856016</v>
          </cell>
          <cell r="G42">
            <v>367.43418685711856</v>
          </cell>
          <cell r="H42">
            <v>1414.6345509924502</v>
          </cell>
          <cell r="I42">
            <v>2.0418304015325384</v>
          </cell>
          <cell r="J42">
            <v>199.48683022972892</v>
          </cell>
          <cell r="K42">
            <v>73.328935820371882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11">
        <row r="13">
          <cell r="H13">
            <v>744</v>
          </cell>
          <cell r="I13">
            <v>8.4931506849315053E-2</v>
          </cell>
        </row>
        <row r="21">
          <cell r="B21">
            <v>174.13185483870967</v>
          </cell>
          <cell r="C21">
            <v>328.70658602150542</v>
          </cell>
          <cell r="D21">
            <v>140.03501344086021</v>
          </cell>
          <cell r="E21">
            <v>392.94946236559144</v>
          </cell>
          <cell r="F21">
            <v>51.023991935483856</v>
          </cell>
          <cell r="G21">
            <v>37.258064516129032</v>
          </cell>
          <cell r="H21">
            <v>0</v>
          </cell>
          <cell r="I21">
            <v>89.032258064516128</v>
          </cell>
          <cell r="J21">
            <v>28.487970430107527</v>
          </cell>
          <cell r="K21">
            <v>200.60665322580647</v>
          </cell>
        </row>
        <row r="22">
          <cell r="B22">
            <v>62.874126344086022</v>
          </cell>
          <cell r="C22">
            <v>0</v>
          </cell>
          <cell r="D22">
            <v>0</v>
          </cell>
          <cell r="E22">
            <v>69.025940860215044</v>
          </cell>
          <cell r="F22">
            <v>103.3336693548387</v>
          </cell>
          <cell r="G22">
            <v>160.0698252688172</v>
          </cell>
          <cell r="H22">
            <v>936.34731182795701</v>
          </cell>
          <cell r="I22">
            <v>0</v>
          </cell>
          <cell r="J22">
            <v>104.02708333333335</v>
          </cell>
          <cell r="K22">
            <v>6.7327284946236556</v>
          </cell>
        </row>
        <row r="24">
          <cell r="B24">
            <v>129.55410000000001</v>
          </cell>
          <cell r="C24">
            <v>244.55770000000001</v>
          </cell>
          <cell r="D24">
            <v>104.18605000000001</v>
          </cell>
          <cell r="E24">
            <v>292.3544</v>
          </cell>
          <cell r="F24">
            <v>37.961849999999991</v>
          </cell>
          <cell r="G24">
            <v>27.72</v>
          </cell>
          <cell r="H24">
            <v>0</v>
          </cell>
          <cell r="I24">
            <v>66.239999999999995</v>
          </cell>
          <cell r="J24">
            <v>21.195049999999998</v>
          </cell>
          <cell r="K24">
            <v>149.25135</v>
          </cell>
        </row>
        <row r="25">
          <cell r="B25">
            <v>46.778349999999996</v>
          </cell>
          <cell r="C25">
            <v>0</v>
          </cell>
          <cell r="D25">
            <v>0</v>
          </cell>
          <cell r="E25">
            <v>51.355299999999993</v>
          </cell>
          <cell r="F25">
            <v>76.880250000000004</v>
          </cell>
          <cell r="G25">
            <v>119.09195</v>
          </cell>
          <cell r="H25">
            <v>696.64240000000007</v>
          </cell>
          <cell r="I25">
            <v>0</v>
          </cell>
          <cell r="J25">
            <v>77.396150000000006</v>
          </cell>
          <cell r="K25">
            <v>5.00915</v>
          </cell>
        </row>
        <row r="27">
          <cell r="B27">
            <v>2.3048714048234387</v>
          </cell>
          <cell r="C27">
            <v>3.2342453822581803</v>
          </cell>
          <cell r="D27">
            <v>3.7275163756406751</v>
          </cell>
          <cell r="E27">
            <v>2.6259573286134472</v>
          </cell>
          <cell r="F27">
            <v>0.80551969123395595</v>
          </cell>
          <cell r="G27">
            <v>1.348083714772744</v>
          </cell>
          <cell r="H27">
            <v>0</v>
          </cell>
          <cell r="I27">
            <v>0.51338735163187355</v>
          </cell>
          <cell r="J27">
            <v>0.17814406147964346</v>
          </cell>
          <cell r="K27">
            <v>4.5808980385697966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1.0262904827585606</v>
          </cell>
          <cell r="F28">
            <v>1.9767692902283209</v>
          </cell>
          <cell r="G28">
            <v>2.9785563271401139</v>
          </cell>
          <cell r="H28">
            <v>3.5269483710505982</v>
          </cell>
          <cell r="I28">
            <v>0</v>
          </cell>
          <cell r="J28">
            <v>6.7976041476815237</v>
          </cell>
          <cell r="K28">
            <v>0.95786168784248948</v>
          </cell>
        </row>
        <row r="30">
          <cell r="B30">
            <v>0.49873756569869215</v>
          </cell>
        </row>
        <row r="31">
          <cell r="B31">
            <v>1.4148877097026418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300.00278982162013</v>
          </cell>
          <cell r="C38">
            <v>770.66142034280779</v>
          </cell>
          <cell r="D38">
            <v>379.42264633858554</v>
          </cell>
          <cell r="E38">
            <v>758.94611105798583</v>
          </cell>
          <cell r="F38">
            <v>46.4774560671882</v>
          </cell>
          <cell r="G38">
            <v>38.153801444388549</v>
          </cell>
          <cell r="H38">
            <v>0</v>
          </cell>
          <cell r="I38">
            <v>64.921811554383027</v>
          </cell>
          <cell r="J38">
            <v>20.198971297306262</v>
          </cell>
          <cell r="K38">
            <v>666.80422720130684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48.356266155618506</v>
          </cell>
          <cell r="F39">
            <v>146.98899750902027</v>
          </cell>
          <cell r="G39">
            <v>350.21738077899579</v>
          </cell>
          <cell r="H39">
            <v>2360.7351537091768</v>
          </cell>
          <cell r="I39">
            <v>0</v>
          </cell>
          <cell r="J39">
            <v>517.88787502407126</v>
          </cell>
          <cell r="K39">
            <v>3.6030532906575568</v>
          </cell>
        </row>
        <row r="41">
          <cell r="B41">
            <v>190.40802783244672</v>
          </cell>
          <cell r="C41">
            <v>273.6473275475584</v>
          </cell>
          <cell r="D41">
            <v>96.804961502116171</v>
          </cell>
          <cell r="E41">
            <v>289.39485646223011</v>
          </cell>
          <cell r="F41">
            <v>378.56010102196774</v>
          </cell>
          <cell r="G41">
            <v>140.37467524155389</v>
          </cell>
          <cell r="H41">
            <v>76.377668286229124</v>
          </cell>
          <cell r="I41">
            <v>129.67176708165997</v>
          </cell>
          <cell r="J41">
            <v>686.38757479282515</v>
          </cell>
          <cell r="K41">
            <v>127.07833174002678</v>
          </cell>
        </row>
        <row r="42">
          <cell r="B42">
            <v>36.192827614193575</v>
          </cell>
          <cell r="C42">
            <v>0</v>
          </cell>
          <cell r="D42">
            <v>0.12733989387323777</v>
          </cell>
          <cell r="E42">
            <v>196.68354052576427</v>
          </cell>
          <cell r="F42">
            <v>317.44420654888478</v>
          </cell>
          <cell r="G42">
            <v>381.92063948003397</v>
          </cell>
          <cell r="H42">
            <v>1470.4079034313734</v>
          </cell>
          <cell r="I42">
            <v>2.1223315645539627</v>
          </cell>
          <cell r="J42">
            <v>207.35179385692211</v>
          </cell>
          <cell r="K42">
            <v>76.220000921681333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12">
        <row r="13">
          <cell r="H13">
            <v>720</v>
          </cell>
          <cell r="I13">
            <v>8.2191780821917804E-2</v>
          </cell>
        </row>
        <row r="21">
          <cell r="B21">
            <v>173.56430555555556</v>
          </cell>
          <cell r="C21">
            <v>339.10027777777776</v>
          </cell>
          <cell r="D21">
            <v>142.21305555555554</v>
          </cell>
          <cell r="E21">
            <v>395.26583333333338</v>
          </cell>
          <cell r="F21">
            <v>51.438472222222217</v>
          </cell>
          <cell r="G21">
            <v>35.93333333333333</v>
          </cell>
          <cell r="H21">
            <v>0</v>
          </cell>
          <cell r="I21">
            <v>98.816666666666649</v>
          </cell>
          <cell r="J21">
            <v>31.46555555555555</v>
          </cell>
          <cell r="K21">
            <v>205.31430555555553</v>
          </cell>
        </row>
        <row r="22">
          <cell r="B22">
            <v>63.123750000000001</v>
          </cell>
          <cell r="C22">
            <v>0</v>
          </cell>
          <cell r="D22">
            <v>0</v>
          </cell>
          <cell r="E22">
            <v>70.910694444444445</v>
          </cell>
          <cell r="F22">
            <v>105.88319444444444</v>
          </cell>
          <cell r="G22">
            <v>163.73375000000001</v>
          </cell>
          <cell r="H22">
            <v>956.57513888888889</v>
          </cell>
          <cell r="I22">
            <v>0</v>
          </cell>
          <cell r="J22">
            <v>105.97083333333333</v>
          </cell>
          <cell r="K22">
            <v>7.0966666666666658</v>
          </cell>
        </row>
        <row r="24">
          <cell r="B24">
            <v>124.9663</v>
          </cell>
          <cell r="C24">
            <v>244.15219999999999</v>
          </cell>
          <cell r="D24">
            <v>102.3934</v>
          </cell>
          <cell r="E24">
            <v>284.59140000000002</v>
          </cell>
          <cell r="F24">
            <v>37.035699999999999</v>
          </cell>
          <cell r="G24">
            <v>25.872</v>
          </cell>
          <cell r="H24">
            <v>0</v>
          </cell>
          <cell r="I24">
            <v>71.147999999999982</v>
          </cell>
          <cell r="J24">
            <v>22.655199999999997</v>
          </cell>
          <cell r="K24">
            <v>147.82629999999997</v>
          </cell>
        </row>
        <row r="25">
          <cell r="B25">
            <v>45.449100000000001</v>
          </cell>
          <cell r="C25">
            <v>0</v>
          </cell>
          <cell r="D25">
            <v>0</v>
          </cell>
          <cell r="E25">
            <v>51.055699999999995</v>
          </cell>
          <cell r="F25">
            <v>76.235900000000001</v>
          </cell>
          <cell r="G25">
            <v>117.8883</v>
          </cell>
          <cell r="H25">
            <v>688.73410000000001</v>
          </cell>
          <cell r="I25">
            <v>0</v>
          </cell>
          <cell r="J25">
            <v>76.299000000000007</v>
          </cell>
          <cell r="K25">
            <v>5.1095999999999995</v>
          </cell>
        </row>
        <row r="27">
          <cell r="B27">
            <v>2.2424929049485702</v>
          </cell>
          <cell r="C27">
            <v>3.184777290065826</v>
          </cell>
          <cell r="D27">
            <v>3.6151818479643056</v>
          </cell>
          <cell r="E27">
            <v>2.5607469184595812</v>
          </cell>
          <cell r="F27">
            <v>0.79980700408693917</v>
          </cell>
          <cell r="G27">
            <v>1.320385130092236</v>
          </cell>
          <cell r="H27">
            <v>0</v>
          </cell>
          <cell r="I27">
            <v>0.55532424471870301</v>
          </cell>
          <cell r="J27">
            <v>0.20249041654852806</v>
          </cell>
          <cell r="K27">
            <v>4.4722146933725933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1.018824882093069</v>
          </cell>
          <cell r="F28">
            <v>1.940245335207937</v>
          </cell>
          <cell r="G28">
            <v>2.9333851807515412</v>
          </cell>
          <cell r="H28">
            <v>3.4263083257834839</v>
          </cell>
          <cell r="I28">
            <v>0</v>
          </cell>
          <cell r="J28">
            <v>6.7198638927936072</v>
          </cell>
          <cell r="K28">
            <v>0.86663476699548814</v>
          </cell>
        </row>
        <row r="30">
          <cell r="B30">
            <v>0.48058690880998617</v>
          </cell>
        </row>
        <row r="31">
          <cell r="B31">
            <v>1.3690317472305817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281.40365260217578</v>
          </cell>
          <cell r="C38">
            <v>763.03140103048315</v>
          </cell>
          <cell r="D38">
            <v>363.62164788091326</v>
          </cell>
          <cell r="E38">
            <v>720.83406953650478</v>
          </cell>
          <cell r="F38">
            <v>43.945558820827607</v>
          </cell>
          <cell r="G38">
            <v>34.742784077183607</v>
          </cell>
          <cell r="H38">
            <v>0</v>
          </cell>
          <cell r="I38">
            <v>68.975262424454243</v>
          </cell>
          <cell r="J38">
            <v>22.218868427036888</v>
          </cell>
          <cell r="K38">
            <v>648.93317987815215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47.73810718240567</v>
          </cell>
          <cell r="F39">
            <v>144.06482040659361</v>
          </cell>
          <cell r="G39">
            <v>342.49155026287127</v>
          </cell>
          <cell r="H39">
            <v>2274.1861644840337</v>
          </cell>
          <cell r="I39">
            <v>0</v>
          </cell>
          <cell r="J39">
            <v>505.63272826997195</v>
          </cell>
          <cell r="K39">
            <v>3.508958404511322</v>
          </cell>
        </row>
        <row r="41">
          <cell r="B41">
            <v>183.47847004547654</v>
          </cell>
          <cell r="C41">
            <v>263.6884251258632</v>
          </cell>
          <cell r="D41">
            <v>93.28191900001832</v>
          </cell>
          <cell r="E41">
            <v>288.37847183685631</v>
          </cell>
          <cell r="F41">
            <v>364.7830868606668</v>
          </cell>
          <cell r="G41">
            <v>135.26599135365871</v>
          </cell>
          <cell r="H41">
            <v>73.598040388978902</v>
          </cell>
          <cell r="I41">
            <v>124.9525962905964</v>
          </cell>
          <cell r="J41">
            <v>661.4077332497435</v>
          </cell>
          <cell r="K41">
            <v>122.45354436478449</v>
          </cell>
        </row>
        <row r="42">
          <cell r="B42">
            <v>35.019832094158282</v>
          </cell>
          <cell r="C42">
            <v>0</v>
          </cell>
          <cell r="D42">
            <v>0.12321285725075237</v>
          </cell>
          <cell r="E42">
            <v>190.30910318252322</v>
          </cell>
          <cell r="F42">
            <v>307.15596280865338</v>
          </cell>
          <cell r="G42">
            <v>369.54273952995095</v>
          </cell>
          <cell r="H42">
            <v>1422.7525529919099</v>
          </cell>
          <cell r="I42">
            <v>2.0535476208458729</v>
          </cell>
          <cell r="J42">
            <v>200.63160255664175</v>
          </cell>
          <cell r="K42">
            <v>73.749740223311463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"/>
      <sheetName val="M01"/>
      <sheetName val="M02"/>
      <sheetName val="M03"/>
      <sheetName val="M04"/>
      <sheetName val="M05"/>
      <sheetName val="M06"/>
      <sheetName val="M07"/>
      <sheetName val="M08"/>
      <sheetName val="M09"/>
      <sheetName val="M10"/>
      <sheetName val="M11"/>
      <sheetName val="M12"/>
    </sheetNames>
    <sheetDataSet>
      <sheetData sheetId="0"/>
      <sheetData sheetId="1">
        <row r="13">
          <cell r="H13">
            <v>744</v>
          </cell>
          <cell r="I13">
            <v>8.4931506849315067E-2</v>
          </cell>
        </row>
        <row r="21">
          <cell r="B21">
            <v>201.73830645161289</v>
          </cell>
          <cell r="C21">
            <v>304.99737903225815</v>
          </cell>
          <cell r="D21">
            <v>137.76196236559139</v>
          </cell>
          <cell r="E21">
            <v>410.52150537634407</v>
          </cell>
          <cell r="F21">
            <v>86.727553763440852</v>
          </cell>
          <cell r="G21">
            <v>35.987096774193553</v>
          </cell>
          <cell r="H21">
            <v>0</v>
          </cell>
          <cell r="I21">
            <v>61.471774193548384</v>
          </cell>
          <cell r="J21">
            <v>38.312029569892474</v>
          </cell>
          <cell r="K21">
            <v>190.67809139784941</v>
          </cell>
        </row>
        <row r="22">
          <cell r="B22">
            <v>29.171236559139782</v>
          </cell>
          <cell r="C22">
            <v>0</v>
          </cell>
          <cell r="D22">
            <v>0</v>
          </cell>
          <cell r="E22">
            <v>77.266801075268816</v>
          </cell>
          <cell r="F22">
            <v>77.94086021505376</v>
          </cell>
          <cell r="G22">
            <v>165.24139784946234</v>
          </cell>
          <cell r="H22">
            <v>981.1554435483871</v>
          </cell>
          <cell r="I22">
            <v>0</v>
          </cell>
          <cell r="J22">
            <v>131.59623655913978</v>
          </cell>
          <cell r="K22">
            <v>6.0118951612903233</v>
          </cell>
        </row>
        <row r="24">
          <cell r="B24">
            <v>150.0933</v>
          </cell>
          <cell r="C24">
            <v>226.91805000000005</v>
          </cell>
          <cell r="D24">
            <v>102.4949</v>
          </cell>
          <cell r="E24">
            <v>305.428</v>
          </cell>
          <cell r="F24">
            <v>64.525300000000001</v>
          </cell>
          <cell r="G24">
            <v>26.7744</v>
          </cell>
          <cell r="H24">
            <v>0</v>
          </cell>
          <cell r="I24">
            <v>45.734999999999999</v>
          </cell>
          <cell r="J24">
            <v>28.504150000000003</v>
          </cell>
          <cell r="K24">
            <v>141.86449999999996</v>
          </cell>
        </row>
        <row r="25">
          <cell r="B25">
            <v>21.703399999999998</v>
          </cell>
          <cell r="C25">
            <v>0</v>
          </cell>
          <cell r="D25">
            <v>0</v>
          </cell>
          <cell r="E25">
            <v>57.486499999999999</v>
          </cell>
          <cell r="F25">
            <v>57.988</v>
          </cell>
          <cell r="G25">
            <v>122.93959999999997</v>
          </cell>
          <cell r="H25">
            <v>729.97964999999999</v>
          </cell>
          <cell r="I25">
            <v>0</v>
          </cell>
          <cell r="J25">
            <v>97.907600000000002</v>
          </cell>
          <cell r="K25">
            <v>4.4728500000000002</v>
          </cell>
        </row>
        <row r="27">
          <cell r="B27">
            <v>2.2103328911545979</v>
          </cell>
          <cell r="C27">
            <v>2.3458906594439193</v>
          </cell>
          <cell r="D27">
            <v>2.7445350839746228</v>
          </cell>
          <cell r="E27">
            <v>1.9029629614426258</v>
          </cell>
          <cell r="F27">
            <v>0.50577489731208869</v>
          </cell>
          <cell r="G27">
            <v>0.77131418790550776</v>
          </cell>
          <cell r="H27">
            <v>0</v>
          </cell>
          <cell r="I27">
            <v>0.62982386569580751</v>
          </cell>
          <cell r="J27">
            <v>0.72830332422337329</v>
          </cell>
          <cell r="K27">
            <v>3.4803449275535323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0.62855950608055966</v>
          </cell>
          <cell r="F28">
            <v>1.5982560102138401</v>
          </cell>
          <cell r="G28">
            <v>2.3642919604756916</v>
          </cell>
          <cell r="H28">
            <v>2.6866987110291256</v>
          </cell>
          <cell r="I28">
            <v>0</v>
          </cell>
          <cell r="J28">
            <v>2.7770718803419498</v>
          </cell>
          <cell r="K28">
            <v>0.71884530270174385</v>
          </cell>
        </row>
        <row r="30">
          <cell r="B30">
            <v>0.61492617813513628</v>
          </cell>
        </row>
        <row r="31">
          <cell r="B31">
            <v>1.7551831829409461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328.53043345618886</v>
          </cell>
          <cell r="C38">
            <v>520.62207193863946</v>
          </cell>
          <cell r="D38">
            <v>272.55858046465215</v>
          </cell>
          <cell r="E38">
            <v>568.94921701050043</v>
          </cell>
          <cell r="F38">
            <v>49.738576992640773</v>
          </cell>
          <cell r="G38">
            <v>21.083065781881061</v>
          </cell>
          <cell r="H38">
            <v>0</v>
          </cell>
          <cell r="I38">
            <v>45.402478028937622</v>
          </cell>
          <cell r="J38">
            <v>18.667983321649313</v>
          </cell>
          <cell r="K38">
            <v>473.22288875156073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32.606570491724071</v>
          </cell>
          <cell r="F39">
            <v>89.163303562782303</v>
          </cell>
          <cell r="G39">
            <v>287.03707826616176</v>
          </cell>
          <cell r="H39">
            <v>1906.3527372897818</v>
          </cell>
          <cell r="I39">
            <v>0</v>
          </cell>
          <cell r="J39">
            <v>264.43252074432792</v>
          </cell>
          <cell r="K39">
            <v>2.1448670072812233</v>
          </cell>
        </row>
        <row r="41">
          <cell r="B41">
            <v>234.76651628843226</v>
          </cell>
          <cell r="C41">
            <v>337.39769541918645</v>
          </cell>
          <cell r="D41">
            <v>119.35717117602998</v>
          </cell>
          <cell r="E41">
            <v>421.37816356710192</v>
          </cell>
          <cell r="F41">
            <v>466.75356625169366</v>
          </cell>
          <cell r="G41">
            <v>166.98935293437754</v>
          </cell>
          <cell r="H41">
            <v>94.169794919614759</v>
          </cell>
          <cell r="I41">
            <v>159.88080631513543</v>
          </cell>
          <cell r="J41">
            <v>846.29215265848131</v>
          </cell>
          <cell r="K41">
            <v>156.6831901888327</v>
          </cell>
        </row>
        <row r="42">
          <cell r="B42">
            <v>46.529906179764495</v>
          </cell>
          <cell r="C42">
            <v>0</v>
          </cell>
          <cell r="D42">
            <v>0.15796648646468517</v>
          </cell>
          <cell r="E42">
            <v>246.60323720320292</v>
          </cell>
          <cell r="F42">
            <v>394.06063280622186</v>
          </cell>
          <cell r="G42">
            <v>489.80843976423228</v>
          </cell>
          <cell r="H42">
            <v>1832.7877060881153</v>
          </cell>
          <cell r="I42">
            <v>2.8082930927055139</v>
          </cell>
          <cell r="J42">
            <v>263.52671345311956</v>
          </cell>
          <cell r="K42">
            <v>97.114285512122564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2">
        <row r="13">
          <cell r="H13">
            <v>744</v>
          </cell>
          <cell r="I13">
            <v>8.493150684931508E-2</v>
          </cell>
        </row>
        <row r="21">
          <cell r="B21">
            <v>199.94892473118279</v>
          </cell>
          <cell r="C21">
            <v>300.59516129032255</v>
          </cell>
          <cell r="D21">
            <v>135.22016129032258</v>
          </cell>
          <cell r="E21">
            <v>406.21646505376344</v>
          </cell>
          <cell r="F21">
            <v>87.545900537634395</v>
          </cell>
          <cell r="G21">
            <v>36.733870967741936</v>
          </cell>
          <cell r="H21">
            <v>0</v>
          </cell>
          <cell r="I21">
            <v>56.704301075268816</v>
          </cell>
          <cell r="J21">
            <v>37.597849462365588</v>
          </cell>
          <cell r="K21">
            <v>186.04448924731179</v>
          </cell>
        </row>
        <row r="22">
          <cell r="B22">
            <v>29.293212365591401</v>
          </cell>
          <cell r="C22">
            <v>0</v>
          </cell>
          <cell r="D22">
            <v>0</v>
          </cell>
          <cell r="E22">
            <v>75.869959677419359</v>
          </cell>
          <cell r="F22">
            <v>77.321908602150543</v>
          </cell>
          <cell r="G22">
            <v>162.3684139784946</v>
          </cell>
          <cell r="H22">
            <v>966.13857526881702</v>
          </cell>
          <cell r="I22">
            <v>0</v>
          </cell>
          <cell r="J22">
            <v>129.9307123655914</v>
          </cell>
          <cell r="K22">
            <v>5.8674731182795696</v>
          </cell>
        </row>
        <row r="24">
          <cell r="B24">
            <v>148.762</v>
          </cell>
          <cell r="C24">
            <v>223.64279999999999</v>
          </cell>
          <cell r="D24">
            <v>100.60380000000001</v>
          </cell>
          <cell r="E24">
            <v>302.22505000000001</v>
          </cell>
          <cell r="F24">
            <v>65.134149999999991</v>
          </cell>
          <cell r="G24">
            <v>27.33</v>
          </cell>
          <cell r="H24">
            <v>0</v>
          </cell>
          <cell r="I24">
            <v>42.188000000000002</v>
          </cell>
          <cell r="J24">
            <v>27.972799999999999</v>
          </cell>
          <cell r="K24">
            <v>138.41709999999998</v>
          </cell>
        </row>
        <row r="25">
          <cell r="B25">
            <v>21.794150000000002</v>
          </cell>
          <cell r="C25">
            <v>0</v>
          </cell>
          <cell r="D25">
            <v>0</v>
          </cell>
          <cell r="E25">
            <v>56.447249999999997</v>
          </cell>
          <cell r="F25">
            <v>57.527500000000003</v>
          </cell>
          <cell r="G25">
            <v>120.8021</v>
          </cell>
          <cell r="H25">
            <v>718.80709999999988</v>
          </cell>
          <cell r="I25">
            <v>0</v>
          </cell>
          <cell r="J25">
            <v>96.668449999999993</v>
          </cell>
          <cell r="K25">
            <v>4.3653999999999993</v>
          </cell>
        </row>
        <row r="27">
          <cell r="B27">
            <v>2.2455449574948032</v>
          </cell>
          <cell r="C27">
            <v>2.3877512548702251</v>
          </cell>
          <cell r="D27">
            <v>2.8099116572737688</v>
          </cell>
          <cell r="E27">
            <v>1.9402384239841521</v>
          </cell>
          <cell r="F27">
            <v>0.51412690334594568</v>
          </cell>
          <cell r="G27">
            <v>0.78515620471812453</v>
          </cell>
          <cell r="H27">
            <v>0</v>
          </cell>
          <cell r="I27">
            <v>0.59341140731113629</v>
          </cell>
          <cell r="J27">
            <v>0.74007710639513968</v>
          </cell>
          <cell r="K27">
            <v>3.5602084931583864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0.63784514792398805</v>
          </cell>
          <cell r="F28">
            <v>1.6243683873327093</v>
          </cell>
          <cell r="G28">
            <v>2.3961124914678371</v>
          </cell>
          <cell r="H28">
            <v>2.7357228942394807</v>
          </cell>
          <cell r="I28">
            <v>0</v>
          </cell>
          <cell r="J28">
            <v>2.8215447819505899</v>
          </cell>
          <cell r="K28">
            <v>0.75527098844083262</v>
          </cell>
        </row>
        <row r="30">
          <cell r="B30">
            <v>0.61121567241834329</v>
          </cell>
        </row>
        <row r="31">
          <cell r="B31">
            <v>1.755199994150072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330.2961149875473</v>
          </cell>
          <cell r="C38">
            <v>519.43896883154218</v>
          </cell>
          <cell r="D38">
            <v>272.36471117480113</v>
          </cell>
          <cell r="E38">
            <v>573.19680920925487</v>
          </cell>
          <cell r="F38">
            <v>51.847295943639139</v>
          </cell>
          <cell r="G38">
            <v>21.95935493877068</v>
          </cell>
          <cell r="H38">
            <v>0</v>
          </cell>
          <cell r="I38">
            <v>42.24648427024993</v>
          </cell>
          <cell r="J38">
            <v>18.59595957191496</v>
          </cell>
          <cell r="K38">
            <v>468.80082757235135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32.453975044487038</v>
          </cell>
          <cell r="F39">
            <v>89.48924634972191</v>
          </cell>
          <cell r="G39">
            <v>285.17543906665048</v>
          </cell>
          <cell r="H39">
            <v>1907.5355435323117</v>
          </cell>
          <cell r="I39">
            <v>0</v>
          </cell>
          <cell r="J39">
            <v>264.89544819644885</v>
          </cell>
          <cell r="K39">
            <v>2.1551146500843776</v>
          </cell>
        </row>
        <row r="41">
          <cell r="B41">
            <v>233.34991941587506</v>
          </cell>
          <cell r="C41">
            <v>335.36181514249665</v>
          </cell>
          <cell r="D41">
            <v>118.63696201640045</v>
          </cell>
          <cell r="E41">
            <v>418.83553952466963</v>
          </cell>
          <cell r="F41">
            <v>482.09024946324399</v>
          </cell>
          <cell r="G41">
            <v>165.98172800192526</v>
          </cell>
          <cell r="H41">
            <v>93.601568074145064</v>
          </cell>
          <cell r="I41">
            <v>158.91607482876927</v>
          </cell>
          <cell r="J41">
            <v>841.18556916574494</v>
          </cell>
          <cell r="K41">
            <v>155.73775333219388</v>
          </cell>
        </row>
        <row r="42">
          <cell r="B42">
            <v>46.5303518449184</v>
          </cell>
          <cell r="C42">
            <v>0</v>
          </cell>
          <cell r="D42">
            <v>0.15796799947350651</v>
          </cell>
          <cell r="E42">
            <v>246.60559917808513</v>
          </cell>
          <cell r="F42">
            <v>394.06440713346626</v>
          </cell>
          <cell r="G42">
            <v>489.81313116749578</v>
          </cell>
          <cell r="H42">
            <v>1832.80526059622</v>
          </cell>
          <cell r="I42">
            <v>2.8083199906401157</v>
          </cell>
          <cell r="J42">
            <v>263.5292375216801</v>
          </cell>
          <cell r="K42">
            <v>97.115215676323487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3">
        <row r="13">
          <cell r="H13">
            <v>720</v>
          </cell>
          <cell r="I13">
            <v>8.2191780821917804E-2</v>
          </cell>
        </row>
        <row r="21">
          <cell r="B21">
            <v>201.4997222222222</v>
          </cell>
          <cell r="C21">
            <v>304.41041666666666</v>
          </cell>
          <cell r="D21">
            <v>137.42305555555555</v>
          </cell>
          <cell r="E21">
            <v>409.94749999999993</v>
          </cell>
          <cell r="F21">
            <v>86.836666666666659</v>
          </cell>
          <cell r="G21">
            <v>36.086666666666666</v>
          </cell>
          <cell r="H21">
            <v>0</v>
          </cell>
          <cell r="I21">
            <v>60.836111111111109</v>
          </cell>
          <cell r="J21">
            <v>38.216805555555545</v>
          </cell>
          <cell r="K21">
            <v>190.06027777777777</v>
          </cell>
        </row>
        <row r="22">
          <cell r="B22">
            <v>29.187499999999996</v>
          </cell>
          <cell r="C22">
            <v>0</v>
          </cell>
          <cell r="D22">
            <v>0</v>
          </cell>
          <cell r="E22">
            <v>77.080555555555549</v>
          </cell>
          <cell r="F22">
            <v>77.858333333333334</v>
          </cell>
          <cell r="G22">
            <v>164.85833333333332</v>
          </cell>
          <cell r="H22">
            <v>979.15319444444435</v>
          </cell>
          <cell r="I22">
            <v>0</v>
          </cell>
          <cell r="J22">
            <v>131.37416666666667</v>
          </cell>
          <cell r="K22">
            <v>5.99263888888889</v>
          </cell>
        </row>
        <row r="24">
          <cell r="B24">
            <v>145.07979999999998</v>
          </cell>
          <cell r="C24">
            <v>219.1755</v>
          </cell>
          <cell r="D24">
            <v>98.944600000000008</v>
          </cell>
          <cell r="E24">
            <v>295.16219999999993</v>
          </cell>
          <cell r="F24">
            <v>62.522399999999998</v>
          </cell>
          <cell r="G24">
            <v>25.982400000000002</v>
          </cell>
          <cell r="H24">
            <v>0</v>
          </cell>
          <cell r="I24">
            <v>43.802</v>
          </cell>
          <cell r="J24">
            <v>27.516099999999994</v>
          </cell>
          <cell r="K24">
            <v>136.8434</v>
          </cell>
        </row>
        <row r="25">
          <cell r="B25">
            <v>21.014999999999997</v>
          </cell>
          <cell r="C25">
            <v>0</v>
          </cell>
          <cell r="D25">
            <v>0</v>
          </cell>
          <cell r="E25">
            <v>55.497999999999998</v>
          </cell>
          <cell r="F25">
            <v>56.058</v>
          </cell>
          <cell r="G25">
            <v>118.69799999999998</v>
          </cell>
          <cell r="H25">
            <v>704.99029999999993</v>
          </cell>
          <cell r="I25">
            <v>0</v>
          </cell>
          <cell r="J25">
            <v>94.589399999999998</v>
          </cell>
          <cell r="K25">
            <v>4.3147000000000011</v>
          </cell>
        </row>
        <row r="27">
          <cell r="B27">
            <v>2.2150278333332918</v>
          </cell>
          <cell r="C27">
            <v>2.3514720721674269</v>
          </cell>
          <cell r="D27">
            <v>2.7532519604145089</v>
          </cell>
          <cell r="E27">
            <v>1.9079330231148288</v>
          </cell>
          <cell r="F27">
            <v>0.50688849811660286</v>
          </cell>
          <cell r="G27">
            <v>0.77315979014719005</v>
          </cell>
          <cell r="H27">
            <v>0</v>
          </cell>
          <cell r="I27">
            <v>0.62496887124451805</v>
          </cell>
          <cell r="J27">
            <v>0.72987316184627549</v>
          </cell>
          <cell r="K27">
            <v>3.4909934029675127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0.62979759165968352</v>
          </cell>
          <cell r="F28">
            <v>1.6017376604963565</v>
          </cell>
          <cell r="G28">
            <v>2.3685346979413109</v>
          </cell>
          <cell r="H28">
            <v>2.6932352687905063</v>
          </cell>
          <cell r="I28">
            <v>0</v>
          </cell>
          <cell r="J28">
            <v>2.7830016005564358</v>
          </cell>
          <cell r="K28">
            <v>0.72370206080028909</v>
          </cell>
        </row>
        <row r="30">
          <cell r="B30">
            <v>0.59149412785601096</v>
          </cell>
        </row>
        <row r="31">
          <cell r="B31">
            <v>1.69856653976976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318.16050741326131</v>
          </cell>
          <cell r="C38">
            <v>503.67515308809016</v>
          </cell>
          <cell r="D38">
            <v>263.74135279936002</v>
          </cell>
          <cell r="E38">
            <v>551.14409287451724</v>
          </cell>
          <cell r="F38">
            <v>48.406199534942473</v>
          </cell>
          <cell r="G38">
            <v>20.516036454322268</v>
          </cell>
          <cell r="H38">
            <v>0</v>
          </cell>
          <cell r="I38">
            <v>43.530656962367026</v>
          </cell>
          <cell r="J38">
            <v>18.056496924211029</v>
          </cell>
          <cell r="K38">
            <v>457.38704573645111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31.535055902024972</v>
          </cell>
          <cell r="F39">
            <v>86.329125097781528</v>
          </cell>
          <cell r="G39">
            <v>277.53760616731637</v>
          </cell>
          <cell r="H39">
            <v>1845.0101078601151</v>
          </cell>
          <cell r="I39">
            <v>0</v>
          </cell>
          <cell r="J39">
            <v>255.96217200446199</v>
          </cell>
          <cell r="K39">
            <v>2.0770000254725587</v>
          </cell>
        </row>
        <row r="41">
          <cell r="B41">
            <v>225.82062813286791</v>
          </cell>
          <cell r="C41">
            <v>324.54099807203613</v>
          </cell>
          <cell r="D41">
            <v>114.80901021685177</v>
          </cell>
          <cell r="E41">
            <v>405.32135111333139</v>
          </cell>
          <cell r="F41">
            <v>466.53507840514993</v>
          </cell>
          <cell r="G41">
            <v>160.62614536057833</v>
          </cell>
          <cell r="H41">
            <v>90.581410739869511</v>
          </cell>
          <cell r="I41">
            <v>153.78847324256284</v>
          </cell>
          <cell r="J41">
            <v>814.04379346183487</v>
          </cell>
          <cell r="K41">
            <v>150.7127037777116</v>
          </cell>
        </row>
        <row r="42">
          <cell r="B42">
            <v>45.028998969296346</v>
          </cell>
          <cell r="C42">
            <v>0</v>
          </cell>
          <cell r="D42">
            <v>0.15287098857927842</v>
          </cell>
          <cell r="E42">
            <v>238.64859883765132</v>
          </cell>
          <cell r="F42">
            <v>381.34948649839384</v>
          </cell>
          <cell r="G42">
            <v>474.0087728543084</v>
          </cell>
          <cell r="H42">
            <v>1773.6677871117615</v>
          </cell>
          <cell r="I42">
            <v>2.7177064636316164</v>
          </cell>
          <cell r="J42">
            <v>255.02617741411132</v>
          </cell>
          <cell r="K42">
            <v>93.981686645460798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4">
        <row r="13">
          <cell r="H13">
            <v>744</v>
          </cell>
          <cell r="I13">
            <v>8.4931506849315067E-2</v>
          </cell>
        </row>
        <row r="21">
          <cell r="B21">
            <v>201.14791666666665</v>
          </cell>
          <cell r="C21">
            <v>302.73931451612901</v>
          </cell>
          <cell r="D21">
            <v>136.60860215053765</v>
          </cell>
          <cell r="E21">
            <v>409.4878360215053</v>
          </cell>
          <cell r="F21">
            <v>87.160483870967738</v>
          </cell>
          <cell r="G21">
            <v>35.987096774193553</v>
          </cell>
          <cell r="H21">
            <v>0</v>
          </cell>
          <cell r="I21">
            <v>58.873655913978496</v>
          </cell>
          <cell r="J21">
            <v>37.773655913978494</v>
          </cell>
          <cell r="K21">
            <v>188.59321236559137</v>
          </cell>
        </row>
        <row r="22">
          <cell r="B22">
            <v>29.173857526881722</v>
          </cell>
          <cell r="C22">
            <v>0</v>
          </cell>
          <cell r="D22">
            <v>0</v>
          </cell>
          <cell r="E22">
            <v>76.655577956989248</v>
          </cell>
          <cell r="F22">
            <v>77.136760752688176</v>
          </cell>
          <cell r="G22">
            <v>163.81263440860215</v>
          </cell>
          <cell r="H22">
            <v>974.96727150537617</v>
          </cell>
          <cell r="I22">
            <v>0</v>
          </cell>
          <cell r="J22">
            <v>130.89637096774192</v>
          </cell>
          <cell r="K22">
            <v>5.9181451612903233</v>
          </cell>
        </row>
        <row r="24">
          <cell r="B24">
            <v>149.65404999999998</v>
          </cell>
          <cell r="C24">
            <v>225.23804999999999</v>
          </cell>
          <cell r="D24">
            <v>101.63680000000001</v>
          </cell>
          <cell r="E24">
            <v>304.65894999999995</v>
          </cell>
          <cell r="F24">
            <v>64.847399999999993</v>
          </cell>
          <cell r="G24">
            <v>26.7744</v>
          </cell>
          <cell r="H24">
            <v>0</v>
          </cell>
          <cell r="I24">
            <v>43.802</v>
          </cell>
          <cell r="J24">
            <v>28.1036</v>
          </cell>
          <cell r="K24">
            <v>140.31334999999999</v>
          </cell>
        </row>
        <row r="25">
          <cell r="B25">
            <v>21.705350000000003</v>
          </cell>
          <cell r="C25">
            <v>0</v>
          </cell>
          <cell r="D25">
            <v>0</v>
          </cell>
          <cell r="E25">
            <v>57.031750000000002</v>
          </cell>
          <cell r="F25">
            <v>57.389749999999999</v>
          </cell>
          <cell r="G25">
            <v>121.8766</v>
          </cell>
          <cell r="H25">
            <v>725.37564999999995</v>
          </cell>
          <cell r="I25">
            <v>0</v>
          </cell>
          <cell r="J25">
            <v>97.386899999999997</v>
          </cell>
          <cell r="K25">
            <v>4.4031000000000002</v>
          </cell>
        </row>
        <row r="27">
          <cell r="B27">
            <v>2.2234336745176151</v>
          </cell>
          <cell r="C27">
            <v>2.3606572778240937</v>
          </cell>
          <cell r="D27">
            <v>2.7713346487775095</v>
          </cell>
          <cell r="E27">
            <v>1.9162826022612525</v>
          </cell>
          <cell r="F27">
            <v>0.51147359657564917</v>
          </cell>
          <cell r="G27">
            <v>0.77711855306948274</v>
          </cell>
          <cell r="H27">
            <v>0</v>
          </cell>
          <cell r="I27">
            <v>0.60480858507534008</v>
          </cell>
          <cell r="J27">
            <v>0.73497121974061719</v>
          </cell>
          <cell r="K27">
            <v>3.5173369793568554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0.62993724180215471</v>
          </cell>
          <cell r="F28">
            <v>1.6073246277957813</v>
          </cell>
          <cell r="G28">
            <v>2.3762306469791477</v>
          </cell>
          <cell r="H28">
            <v>2.7068749132657088</v>
          </cell>
          <cell r="I28">
            <v>0</v>
          </cell>
          <cell r="J28">
            <v>2.7973752042182696</v>
          </cell>
          <cell r="K28">
            <v>0.73588335740011257</v>
          </cell>
        </row>
        <row r="30">
          <cell r="B30">
            <v>0.61121427416037433</v>
          </cell>
        </row>
        <row r="31">
          <cell r="B31">
            <v>1.7551959788368368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329.45097896911233</v>
          </cell>
          <cell r="C38">
            <v>519.64923709447748</v>
          </cell>
          <cell r="D38">
            <v>272.58382603972416</v>
          </cell>
          <cell r="E38">
            <v>571.46119685560734</v>
          </cell>
          <cell r="F38">
            <v>50.529480141343349</v>
          </cell>
          <cell r="G38">
            <v>21.225574555386974</v>
          </cell>
          <cell r="H38">
            <v>0</v>
          </cell>
          <cell r="I38">
            <v>43.530656962367026</v>
          </cell>
          <cell r="J38">
            <v>18.572250909349666</v>
          </cell>
          <cell r="K38">
            <v>471.75019643184089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32.391484310461244</v>
          </cell>
          <cell r="F39">
            <v>88.707156879887563</v>
          </cell>
          <cell r="G39">
            <v>285.86233304449519</v>
          </cell>
          <cell r="H39">
            <v>1907.7071622435515</v>
          </cell>
          <cell r="I39">
            <v>0</v>
          </cell>
          <cell r="J39">
            <v>264.89931845557345</v>
          </cell>
          <cell r="K39">
            <v>2.1450291893098665</v>
          </cell>
        </row>
        <row r="41">
          <cell r="B41">
            <v>233.34938558894763</v>
          </cell>
          <cell r="C41">
            <v>335.36104794631422</v>
          </cell>
          <cell r="D41">
            <v>118.63669061452866</v>
          </cell>
          <cell r="E41">
            <v>418.8345813683963</v>
          </cell>
          <cell r="F41">
            <v>482.0891466012535</v>
          </cell>
          <cell r="G41">
            <v>165.98134829099121</v>
          </cell>
          <cell r="H41">
            <v>93.60135394491968</v>
          </cell>
          <cell r="I41">
            <v>158.9157112816973</v>
          </cell>
          <cell r="J41">
            <v>841.18364481321498</v>
          </cell>
          <cell r="K41">
            <v>155.73739705606337</v>
          </cell>
        </row>
        <row r="42">
          <cell r="B42">
            <v>46.530245398964546</v>
          </cell>
          <cell r="C42">
            <v>0</v>
          </cell>
          <cell r="D42">
            <v>0.15796763809531533</v>
          </cell>
          <cell r="E42">
            <v>246.60503502657556</v>
          </cell>
          <cell r="F42">
            <v>394.06350564529691</v>
          </cell>
          <cell r="G42">
            <v>489.81201063812313</v>
          </cell>
          <cell r="H42">
            <v>1832.8010677479722</v>
          </cell>
          <cell r="I42">
            <v>2.8083135661389385</v>
          </cell>
          <cell r="J42">
            <v>263.52863465452037</v>
          </cell>
          <cell r="K42">
            <v>97.114993509042193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5">
        <row r="13">
          <cell r="H13">
            <v>720</v>
          </cell>
          <cell r="I13">
            <v>8.2191780821917818E-2</v>
          </cell>
        </row>
        <row r="21">
          <cell r="B21">
            <v>195.30493055555553</v>
          </cell>
          <cell r="C21">
            <v>293.33229166666672</v>
          </cell>
          <cell r="D21">
            <v>130.24944444444444</v>
          </cell>
          <cell r="E21">
            <v>393.04541666666671</v>
          </cell>
          <cell r="F21">
            <v>88.827986111111102</v>
          </cell>
          <cell r="G21">
            <v>39.945</v>
          </cell>
          <cell r="H21">
            <v>0</v>
          </cell>
          <cell r="I21">
            <v>49.62777777777778</v>
          </cell>
          <cell r="J21">
            <v>37.308472222222221</v>
          </cell>
          <cell r="K21">
            <v>176.89187499999997</v>
          </cell>
        </row>
        <row r="22">
          <cell r="B22">
            <v>29.804166666666667</v>
          </cell>
          <cell r="C22">
            <v>0</v>
          </cell>
          <cell r="D22">
            <v>0</v>
          </cell>
          <cell r="E22">
            <v>73.021527777777777</v>
          </cell>
          <cell r="F22">
            <v>78.814930555555549</v>
          </cell>
          <cell r="G22">
            <v>157.39652777777775</v>
          </cell>
          <cell r="H22">
            <v>933.53826388888876</v>
          </cell>
          <cell r="I22">
            <v>0</v>
          </cell>
          <cell r="J22">
            <v>126.38493055555554</v>
          </cell>
          <cell r="K22">
            <v>5.7308333333333348</v>
          </cell>
        </row>
        <row r="24">
          <cell r="B24">
            <v>140.61954999999998</v>
          </cell>
          <cell r="C24">
            <v>211.19925000000006</v>
          </cell>
          <cell r="D24">
            <v>93.779599999999988</v>
          </cell>
          <cell r="E24">
            <v>282.99270000000001</v>
          </cell>
          <cell r="F24">
            <v>63.956149999999994</v>
          </cell>
          <cell r="G24">
            <v>28.760400000000001</v>
          </cell>
          <cell r="H24">
            <v>0</v>
          </cell>
          <cell r="I24">
            <v>35.731999999999999</v>
          </cell>
          <cell r="J24">
            <v>26.862099999999998</v>
          </cell>
          <cell r="K24">
            <v>127.36214999999999</v>
          </cell>
        </row>
        <row r="25">
          <cell r="B25">
            <v>21.459</v>
          </cell>
          <cell r="C25">
            <v>0</v>
          </cell>
          <cell r="D25">
            <v>0</v>
          </cell>
          <cell r="E25">
            <v>52.575499999999998</v>
          </cell>
          <cell r="F25">
            <v>56.746749999999999</v>
          </cell>
          <cell r="G25">
            <v>113.32549999999999</v>
          </cell>
          <cell r="H25">
            <v>672.14754999999991</v>
          </cell>
          <cell r="I25">
            <v>0</v>
          </cell>
          <cell r="J25">
            <v>90.997149999999991</v>
          </cell>
          <cell r="K25">
            <v>4.1262000000000008</v>
          </cell>
        </row>
        <row r="27">
          <cell r="B27">
            <v>2.3292694620487606</v>
          </cell>
          <cell r="C27">
            <v>2.4914576202391081</v>
          </cell>
          <cell r="D27">
            <v>2.9525665043118492</v>
          </cell>
          <cell r="E27">
            <v>2.0317047686831424</v>
          </cell>
          <cell r="F27">
            <v>0.52059724976313504</v>
          </cell>
          <cell r="G27">
            <v>0.81468765699850587</v>
          </cell>
          <cell r="H27">
            <v>0</v>
          </cell>
          <cell r="I27">
            <v>0.56608345279613193</v>
          </cell>
          <cell r="J27">
            <v>0.75625357622797507</v>
          </cell>
          <cell r="K27">
            <v>3.7124962242754229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0.67065510662248862</v>
          </cell>
          <cell r="F28">
            <v>1.6897970847704813</v>
          </cell>
          <cell r="G28">
            <v>2.4712575611328722</v>
          </cell>
          <cell r="H28">
            <v>2.842283170488328</v>
          </cell>
          <cell r="I28">
            <v>0</v>
          </cell>
          <cell r="J28">
            <v>2.9078777521734271</v>
          </cell>
          <cell r="K28">
            <v>0.82387148784400954</v>
          </cell>
        </row>
        <row r="30">
          <cell r="B30">
            <v>0.58672546067651365</v>
          </cell>
        </row>
        <row r="31">
          <cell r="B31">
            <v>1.6985866163424637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322.38618750543611</v>
          </cell>
          <cell r="C38">
            <v>502.62381177341354</v>
          </cell>
          <cell r="D38">
            <v>262.64577847474521</v>
          </cell>
          <cell r="E38">
            <v>559.82215464275532</v>
          </cell>
          <cell r="F38">
            <v>54.995278546421417</v>
          </cell>
          <cell r="G38">
            <v>24.184938371240818</v>
          </cell>
          <cell r="H38">
            <v>0</v>
          </cell>
          <cell r="I38">
            <v>37.109793501781525</v>
          </cell>
          <cell r="J38">
            <v>18.175040237037525</v>
          </cell>
          <cell r="K38">
            <v>442.64020143900353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31.847509572153925</v>
          </cell>
          <cell r="F39">
            <v>90.239572446953304</v>
          </cell>
          <cell r="G39">
            <v>274.10313627809296</v>
          </cell>
          <cell r="H39">
            <v>1844.1520143039172</v>
          </cell>
          <cell r="I39">
            <v>0</v>
          </cell>
          <cell r="J39">
            <v>255.94282070883909</v>
          </cell>
          <cell r="K39">
            <v>2.127427329345116</v>
          </cell>
        </row>
        <row r="41">
          <cell r="B41">
            <v>224.00004637707937</v>
          </cell>
          <cell r="C41">
            <v>321.92452576398955</v>
          </cell>
          <cell r="D41">
            <v>113.88341191731131</v>
          </cell>
          <cell r="E41">
            <v>425.52264035564133</v>
          </cell>
          <cell r="F41">
            <v>462.77383985399331</v>
          </cell>
          <cell r="G41">
            <v>159.33116610131404</v>
          </cell>
          <cell r="H41">
            <v>89.851137048001277</v>
          </cell>
          <cell r="I41">
            <v>152.54861977589351</v>
          </cell>
          <cell r="J41">
            <v>807.48091525605184</v>
          </cell>
          <cell r="K41">
            <v>149.49764738037567</v>
          </cell>
        </row>
        <row r="42">
          <cell r="B42">
            <v>45.029531199238711</v>
          </cell>
          <cell r="C42">
            <v>0</v>
          </cell>
          <cell r="D42">
            <v>0.15287279547082172</v>
          </cell>
          <cell r="E42">
            <v>238.65141959611614</v>
          </cell>
          <cell r="F42">
            <v>381.35399394070583</v>
          </cell>
          <cell r="G42">
            <v>474.01437550299329</v>
          </cell>
          <cell r="H42">
            <v>1773.6887513598178</v>
          </cell>
          <cell r="I42">
            <v>2.7177385861479419</v>
          </cell>
          <cell r="J42">
            <v>255.02919175089016</v>
          </cell>
          <cell r="K42">
            <v>93.98279748222852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6">
        <row r="13">
          <cell r="H13">
            <v>744</v>
          </cell>
          <cell r="I13">
            <v>8.4931506849315039E-2</v>
          </cell>
        </row>
        <row r="21">
          <cell r="B21">
            <v>198.15954301075271</v>
          </cell>
          <cell r="C21">
            <v>296.19294354838706</v>
          </cell>
          <cell r="D21">
            <v>132.67836021505377</v>
          </cell>
          <cell r="E21">
            <v>401.91142473118282</v>
          </cell>
          <cell r="F21">
            <v>88.364247311827953</v>
          </cell>
          <cell r="G21">
            <v>37.480645161290319</v>
          </cell>
          <cell r="H21">
            <v>0</v>
          </cell>
          <cell r="I21">
            <v>51.936827956989248</v>
          </cell>
          <cell r="J21">
            <v>36.883669354838709</v>
          </cell>
          <cell r="K21">
            <v>181.41088709677422</v>
          </cell>
        </row>
        <row r="22">
          <cell r="B22">
            <v>29.415188172043013</v>
          </cell>
          <cell r="C22">
            <v>0</v>
          </cell>
          <cell r="D22">
            <v>0</v>
          </cell>
          <cell r="E22">
            <v>74.473118279569889</v>
          </cell>
          <cell r="F22">
            <v>76.702956989247312</v>
          </cell>
          <cell r="G22">
            <v>159.49543010752689</v>
          </cell>
          <cell r="H22">
            <v>951.1217069892474</v>
          </cell>
          <cell r="I22">
            <v>0</v>
          </cell>
          <cell r="J22">
            <v>128.26518817204303</v>
          </cell>
          <cell r="K22">
            <v>5.7230510752688168</v>
          </cell>
        </row>
        <row r="24">
          <cell r="B24">
            <v>147.4307</v>
          </cell>
          <cell r="C24">
            <v>220.36754999999999</v>
          </cell>
          <cell r="D24">
            <v>98.712699999999998</v>
          </cell>
          <cell r="E24">
            <v>299.02210000000002</v>
          </cell>
          <cell r="F24">
            <v>65.742999999999995</v>
          </cell>
          <cell r="G24">
            <v>27.8856</v>
          </cell>
          <cell r="H24">
            <v>0</v>
          </cell>
          <cell r="I24">
            <v>38.640999999999998</v>
          </cell>
          <cell r="J24">
            <v>27.44145</v>
          </cell>
          <cell r="K24">
            <v>134.96970000000002</v>
          </cell>
        </row>
        <row r="25">
          <cell r="B25">
            <v>21.884900000000002</v>
          </cell>
          <cell r="C25">
            <v>0</v>
          </cell>
          <cell r="D25">
            <v>0</v>
          </cell>
          <cell r="E25">
            <v>55.408000000000001</v>
          </cell>
          <cell r="F25">
            <v>57.067</v>
          </cell>
          <cell r="G25">
            <v>118.66460000000001</v>
          </cell>
          <cell r="H25">
            <v>707.63454999999999</v>
          </cell>
          <cell r="I25">
            <v>0</v>
          </cell>
          <cell r="J25">
            <v>95.429299999999998</v>
          </cell>
          <cell r="K25">
            <v>4.2579500000000001</v>
          </cell>
        </row>
        <row r="27">
          <cell r="B27">
            <v>2.2807570238350077</v>
          </cell>
          <cell r="C27">
            <v>2.4296118502965314</v>
          </cell>
          <cell r="D27">
            <v>2.8752882305729139</v>
          </cell>
          <cell r="E27">
            <v>1.9775138865256783</v>
          </cell>
          <cell r="F27">
            <v>0.52247890937980268</v>
          </cell>
          <cell r="G27">
            <v>0.7989982215307414</v>
          </cell>
          <cell r="H27">
            <v>0</v>
          </cell>
          <cell r="I27">
            <v>0.55699894892646495</v>
          </cell>
          <cell r="J27">
            <v>0.75185088856690629</v>
          </cell>
          <cell r="K27">
            <v>3.6400720587632409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0.64713078976741634</v>
          </cell>
          <cell r="F28">
            <v>1.650480764451578</v>
          </cell>
          <cell r="G28">
            <v>2.4279330224599831</v>
          </cell>
          <cell r="H28">
            <v>2.7847470774498353</v>
          </cell>
          <cell r="I28">
            <v>0</v>
          </cell>
          <cell r="J28">
            <v>2.8660176835592295</v>
          </cell>
          <cell r="K28">
            <v>0.79169667417992151</v>
          </cell>
        </row>
        <row r="30">
          <cell r="B30">
            <v>0.60412466300727141</v>
          </cell>
        </row>
        <row r="31">
          <cell r="B31">
            <v>1.7552168053591983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332.06179651890585</v>
          </cell>
          <cell r="C38">
            <v>518.2558657244449</v>
          </cell>
          <cell r="D38">
            <v>272.17084188495022</v>
          </cell>
          <cell r="E38">
            <v>577.4444014080093</v>
          </cell>
          <cell r="F38">
            <v>53.956014894637505</v>
          </cell>
          <cell r="G38">
            <v>22.83564409566031</v>
          </cell>
          <cell r="H38">
            <v>0</v>
          </cell>
          <cell r="I38">
            <v>39.090490511562237</v>
          </cell>
          <cell r="J38">
            <v>18.523935822180611</v>
          </cell>
          <cell r="K38">
            <v>464.37876639314209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32.301379597249998</v>
          </cell>
          <cell r="F39">
            <v>89.81518913666153</v>
          </cell>
          <cell r="G39">
            <v>283.31379986713927</v>
          </cell>
          <cell r="H39">
            <v>1908.7183497748424</v>
          </cell>
          <cell r="I39">
            <v>0</v>
          </cell>
          <cell r="J39">
            <v>265.35837564856985</v>
          </cell>
          <cell r="K39">
            <v>2.1653622928875325</v>
          </cell>
        </row>
        <row r="41">
          <cell r="B41">
            <v>230.64271384291612</v>
          </cell>
          <cell r="C41">
            <v>331.47112009882972</v>
          </cell>
          <cell r="D41">
            <v>117.26059708971142</v>
          </cell>
          <cell r="E41">
            <v>438.14141184602346</v>
          </cell>
          <cell r="F41">
            <v>487.20841697547411</v>
          </cell>
          <cell r="G41">
            <v>164.05609348625467</v>
          </cell>
          <cell r="H41">
            <v>92.515650892933536</v>
          </cell>
          <cell r="I41">
            <v>157.07241238189059</v>
          </cell>
          <cell r="J41">
            <v>831.42656746375724</v>
          </cell>
          <cell r="K41">
            <v>153.93096413425278</v>
          </cell>
        </row>
        <row r="42">
          <cell r="B42">
            <v>46.530797510072347</v>
          </cell>
          <cell r="C42">
            <v>0</v>
          </cell>
          <cell r="D42">
            <v>0.15796951248232782</v>
          </cell>
          <cell r="E42">
            <v>246.60796115296733</v>
          </cell>
          <cell r="F42">
            <v>394.06818146071089</v>
          </cell>
          <cell r="G42">
            <v>489.81782257075935</v>
          </cell>
          <cell r="H42">
            <v>1832.8228151043254</v>
          </cell>
          <cell r="I42">
            <v>2.8083468885747176</v>
          </cell>
          <cell r="J42">
            <v>263.53176159024065</v>
          </cell>
          <cell r="K42">
            <v>97.11614584052441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7">
        <row r="13">
          <cell r="H13">
            <v>744</v>
          </cell>
          <cell r="I13">
            <v>8.4931506849315067E-2</v>
          </cell>
        </row>
        <row r="21">
          <cell r="B21">
            <v>198.14133064516128</v>
          </cell>
          <cell r="C21">
            <v>298.56491935483871</v>
          </cell>
          <cell r="D21">
            <v>133.59663978494626</v>
          </cell>
          <cell r="E21">
            <v>400.70739247311826</v>
          </cell>
          <cell r="F21">
            <v>87.883803763440852</v>
          </cell>
          <cell r="G21">
            <v>38.227419354838709</v>
          </cell>
          <cell r="H21">
            <v>0</v>
          </cell>
          <cell r="I21">
            <v>54.963709677419352</v>
          </cell>
          <cell r="J21">
            <v>37.784610215053767</v>
          </cell>
          <cell r="K21">
            <v>183.03192204301075</v>
          </cell>
        </row>
        <row r="22">
          <cell r="B22">
            <v>29.529301075268812</v>
          </cell>
          <cell r="C22">
            <v>0</v>
          </cell>
          <cell r="D22">
            <v>0</v>
          </cell>
          <cell r="E22">
            <v>74.909946236559136</v>
          </cell>
          <cell r="F22">
            <v>78.496303763440864</v>
          </cell>
          <cell r="G22">
            <v>160.90873655913975</v>
          </cell>
          <cell r="H22">
            <v>954.66935483870964</v>
          </cell>
          <cell r="I22">
            <v>0</v>
          </cell>
          <cell r="J22">
            <v>128.69926075268816</v>
          </cell>
          <cell r="K22">
            <v>5.8598790322580649</v>
          </cell>
        </row>
        <row r="24">
          <cell r="B24">
            <v>147.41714999999999</v>
          </cell>
          <cell r="C24">
            <v>222.13230000000001</v>
          </cell>
          <cell r="D24">
            <v>99.395900000000012</v>
          </cell>
          <cell r="E24">
            <v>298.12630000000001</v>
          </cell>
          <cell r="F24">
            <v>65.385549999999995</v>
          </cell>
          <cell r="G24">
            <v>28.441200000000002</v>
          </cell>
          <cell r="H24">
            <v>0</v>
          </cell>
          <cell r="I24">
            <v>40.893000000000001</v>
          </cell>
          <cell r="J24">
            <v>28.111750000000004</v>
          </cell>
          <cell r="K24">
            <v>136.17574999999999</v>
          </cell>
        </row>
        <row r="25">
          <cell r="B25">
            <v>21.969799999999996</v>
          </cell>
          <cell r="C25">
            <v>0</v>
          </cell>
          <cell r="D25">
            <v>0</v>
          </cell>
          <cell r="E25">
            <v>55.732999999999997</v>
          </cell>
          <cell r="F25">
            <v>58.401249999999997</v>
          </cell>
          <cell r="G25">
            <v>119.71609999999998</v>
          </cell>
          <cell r="H25">
            <v>710.274</v>
          </cell>
          <cell r="I25">
            <v>0</v>
          </cell>
          <cell r="J25">
            <v>95.752250000000004</v>
          </cell>
          <cell r="K25">
            <v>4.35975</v>
          </cell>
        </row>
        <row r="27">
          <cell r="B27">
            <v>2.27666674008616</v>
          </cell>
          <cell r="C27">
            <v>2.4271725905823147</v>
          </cell>
          <cell r="D27">
            <v>2.8602661094634012</v>
          </cell>
          <cell r="E27">
            <v>1.9748304266113239</v>
          </cell>
          <cell r="F27">
            <v>0.51373481762297823</v>
          </cell>
          <cell r="G27">
            <v>0.79542714285143301</v>
          </cell>
          <cell r="H27">
            <v>0</v>
          </cell>
          <cell r="I27">
            <v>0.59563233240319635</v>
          </cell>
          <cell r="J27">
            <v>0.74362098418694089</v>
          </cell>
          <cell r="K27">
            <v>3.6089594689581252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0.65228322444605946</v>
          </cell>
          <cell r="F28">
            <v>1.6493872888246226</v>
          </cell>
          <cell r="G28">
            <v>2.4239374939417599</v>
          </cell>
          <cell r="H28">
            <v>2.7732426539504411</v>
          </cell>
          <cell r="I28">
            <v>0</v>
          </cell>
          <cell r="J28">
            <v>2.8495806135389135</v>
          </cell>
          <cell r="K28">
            <v>0.77700819582390424</v>
          </cell>
        </row>
        <row r="30">
          <cell r="B30">
            <v>0.5993437313002552</v>
          </cell>
        </row>
        <row r="31">
          <cell r="B31">
            <v>1.7551952288806523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331.06584151149366</v>
          </cell>
          <cell r="C38">
            <v>519.99126714983345</v>
          </cell>
          <cell r="D38">
            <v>271.90123586988324</v>
          </cell>
          <cell r="E38">
            <v>574.15605407144335</v>
          </cell>
          <cell r="F38">
            <v>53.69202439952813</v>
          </cell>
          <cell r="G38">
            <v>23.284406932032191</v>
          </cell>
          <cell r="H38">
            <v>0</v>
          </cell>
          <cell r="I38">
            <v>41.54995995258632</v>
          </cell>
          <cell r="J38">
            <v>18.739109309345206</v>
          </cell>
          <cell r="K38">
            <v>464.37478217309217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32.794042693801444</v>
          </cell>
          <cell r="F39">
            <v>91.509571972285357</v>
          </cell>
          <cell r="G39">
            <v>284.97639633262764</v>
          </cell>
          <cell r="H39">
            <v>1905.8378811560631</v>
          </cell>
          <cell r="I39">
            <v>0</v>
          </cell>
          <cell r="J39">
            <v>264.42090996695418</v>
          </cell>
          <cell r="K39">
            <v>2.1751233896047575</v>
          </cell>
        </row>
        <row r="41">
          <cell r="B41">
            <v>228.81744973581141</v>
          </cell>
          <cell r="C41">
            <v>328.84791848982405</v>
          </cell>
          <cell r="D41">
            <v>116.33261824537956</v>
          </cell>
          <cell r="E41">
            <v>458.40805288500002</v>
          </cell>
          <cell r="F41">
            <v>483.35273898171675</v>
          </cell>
          <cell r="G41">
            <v>162.7577836718973</v>
          </cell>
          <cell r="H41">
            <v>91.783499011321069</v>
          </cell>
          <cell r="I41">
            <v>155.82937013806637</v>
          </cell>
          <cell r="J41">
            <v>824.84681020197627</v>
          </cell>
          <cell r="K41">
            <v>152.71278273530504</v>
          </cell>
        </row>
        <row r="42">
          <cell r="B42">
            <v>46.530225517626093</v>
          </cell>
          <cell r="C42">
            <v>0</v>
          </cell>
          <cell r="D42">
            <v>0.1579675705992587</v>
          </cell>
          <cell r="E42">
            <v>246.60492965773159</v>
          </cell>
          <cell r="F42">
            <v>394.06333727072985</v>
          </cell>
          <cell r="G42">
            <v>489.81180135235041</v>
          </cell>
          <cell r="H42">
            <v>1832.8002846328598</v>
          </cell>
          <cell r="I42">
            <v>2.8083123662090435</v>
          </cell>
          <cell r="J42">
            <v>263.52852205459885</v>
          </cell>
          <cell r="K42">
            <v>97.114952013966487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8">
        <row r="13">
          <cell r="H13">
            <v>672</v>
          </cell>
          <cell r="I13">
            <v>7.6712328767123306E-2</v>
          </cell>
        </row>
        <row r="21">
          <cell r="B21">
            <v>198.33668154761904</v>
          </cell>
          <cell r="C21">
            <v>295.73683035714282</v>
          </cell>
          <cell r="D21">
            <v>132.58154761904763</v>
          </cell>
          <cell r="E21">
            <v>402.76577380952375</v>
          </cell>
          <cell r="F21">
            <v>88.463616071428561</v>
          </cell>
          <cell r="G21">
            <v>37.133928571428569</v>
          </cell>
          <cell r="H21">
            <v>0</v>
          </cell>
          <cell r="I21">
            <v>51.273809523809526</v>
          </cell>
          <cell r="J21">
            <v>36.619196428571428</v>
          </cell>
          <cell r="K21">
            <v>181.25394345238095</v>
          </cell>
        </row>
        <row r="22">
          <cell r="B22">
            <v>29.361458333333335</v>
          </cell>
          <cell r="C22">
            <v>0</v>
          </cell>
          <cell r="D22">
            <v>0</v>
          </cell>
          <cell r="E22">
            <v>74.444940476190482</v>
          </cell>
          <cell r="F22">
            <v>76.100074404761898</v>
          </cell>
          <cell r="G22">
            <v>159.24747023809525</v>
          </cell>
          <cell r="H22">
            <v>951.24263392857154</v>
          </cell>
          <cell r="I22">
            <v>0</v>
          </cell>
          <cell r="J22">
            <v>128.26361607142857</v>
          </cell>
          <cell r="K22">
            <v>5.6863095238095234</v>
          </cell>
        </row>
        <row r="24">
          <cell r="B24">
            <v>133.28225</v>
          </cell>
          <cell r="C24">
            <v>198.73515</v>
          </cell>
          <cell r="D24">
            <v>89.094800000000006</v>
          </cell>
          <cell r="E24">
            <v>270.65859999999998</v>
          </cell>
          <cell r="F24">
            <v>59.447549999999993</v>
          </cell>
          <cell r="G24">
            <v>24.954000000000001</v>
          </cell>
          <cell r="H24">
            <v>0</v>
          </cell>
          <cell r="I24">
            <v>34.456000000000003</v>
          </cell>
          <cell r="J24">
            <v>24.6081</v>
          </cell>
          <cell r="K24">
            <v>121.80265000000001</v>
          </cell>
        </row>
        <row r="25">
          <cell r="B25">
            <v>19.730900000000002</v>
          </cell>
          <cell r="C25">
            <v>0</v>
          </cell>
          <cell r="D25">
            <v>0</v>
          </cell>
          <cell r="E25">
            <v>50.027000000000001</v>
          </cell>
          <cell r="F25">
            <v>51.139249999999997</v>
          </cell>
          <cell r="G25">
            <v>107.01430000000001</v>
          </cell>
          <cell r="H25">
            <v>639.23505</v>
          </cell>
          <cell r="I25">
            <v>0</v>
          </cell>
          <cell r="J25">
            <v>86.193149999999989</v>
          </cell>
          <cell r="K25">
            <v>3.8211999999999997</v>
          </cell>
        </row>
        <row r="27">
          <cell r="B27">
            <v>2.2789130031861111</v>
          </cell>
          <cell r="C27">
            <v>2.4265253299123684</v>
          </cell>
          <cell r="D27">
            <v>2.8746057682872199</v>
          </cell>
          <cell r="E27">
            <v>1.9749541669663055</v>
          </cell>
          <cell r="F27">
            <v>0.5249104664773111</v>
          </cell>
          <cell r="G27">
            <v>0.79899783229928445</v>
          </cell>
          <cell r="H27">
            <v>0</v>
          </cell>
          <cell r="I27">
            <v>0.54620924391811609</v>
          </cell>
          <cell r="J27">
            <v>0.75376680259553441</v>
          </cell>
          <cell r="K27">
            <v>3.6439480320860946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0.64434494917473351</v>
          </cell>
          <cell r="F28">
            <v>1.6483974159692527</v>
          </cell>
          <cell r="G28">
            <v>2.426377035985313</v>
          </cell>
          <cell r="H28">
            <v>2.7843237877212452</v>
          </cell>
          <cell r="I28">
            <v>0</v>
          </cell>
          <cell r="J28">
            <v>2.8678482306754285</v>
          </cell>
          <cell r="K28">
            <v>0.79364830921710972</v>
          </cell>
        </row>
        <row r="30">
          <cell r="B30">
            <v>0.54135134181855826</v>
          </cell>
        </row>
        <row r="31">
          <cell r="B31">
            <v>1.5853628605519845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300.10688237168813</v>
          </cell>
          <cell r="C38">
            <v>467.62537743573216</v>
          </cell>
          <cell r="D38">
            <v>245.93827375399673</v>
          </cell>
          <cell r="E38">
            <v>522.29341664641174</v>
          </cell>
          <cell r="F38">
            <v>48.641066719246822</v>
          </cell>
          <cell r="G38">
            <v>20.40077572960022</v>
          </cell>
          <cell r="H38">
            <v>0</v>
          </cell>
          <cell r="I38">
            <v>34.759200003967557</v>
          </cell>
          <cell r="J38">
            <v>16.665767967300468</v>
          </cell>
          <cell r="K38">
            <v>419.82060620730272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29.0243450941269</v>
          </cell>
          <cell r="F39">
            <v>80.530564271824872</v>
          </cell>
          <cell r="G39">
            <v>255.50227754844784</v>
          </cell>
          <cell r="H39">
            <v>1724.8620801970831</v>
          </cell>
          <cell r="I39">
            <v>0</v>
          </cell>
          <cell r="J39">
            <v>239.95119968809661</v>
          </cell>
          <cell r="K39">
            <v>1.951675886687027</v>
          </cell>
        </row>
        <row r="41">
          <cell r="B41">
            <v>206.67711527948916</v>
          </cell>
          <cell r="C41">
            <v>297.02865422900652</v>
          </cell>
          <cell r="D41">
            <v>105.07629544698217</v>
          </cell>
          <cell r="E41">
            <v>414.05257378992411</v>
          </cell>
          <cell r="F41">
            <v>436.58361663641267</v>
          </cell>
          <cell r="G41">
            <v>147.00937038424769</v>
          </cell>
          <cell r="H41">
            <v>82.902544486093987</v>
          </cell>
          <cell r="I41">
            <v>140.75134887282513</v>
          </cell>
          <cell r="J41">
            <v>745.03478417779081</v>
          </cell>
          <cell r="K41">
            <v>137.93632189536868</v>
          </cell>
        </row>
        <row r="42">
          <cell r="B42">
            <v>42.027969433233103</v>
          </cell>
          <cell r="C42">
            <v>0</v>
          </cell>
          <cell r="D42">
            <v>0.14268265744967859</v>
          </cell>
          <cell r="E42">
            <v>222.74348190755379</v>
          </cell>
          <cell r="F42">
            <v>355.93384105345342</v>
          </cell>
          <cell r="G42">
            <v>442.41770131707909</v>
          </cell>
          <cell r="H42">
            <v>1655.4588653474614</v>
          </cell>
          <cell r="I42">
            <v>2.5365805768831753</v>
          </cell>
          <cell r="J42">
            <v>238.02955060899598</v>
          </cell>
          <cell r="K42">
            <v>87.718127074341297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9">
        <row r="13">
          <cell r="H13">
            <v>744</v>
          </cell>
          <cell r="I13">
            <v>8.493150684931508E-2</v>
          </cell>
        </row>
        <row r="21">
          <cell r="B21">
            <v>199.94892473118279</v>
          </cell>
          <cell r="C21">
            <v>300.59516129032255</v>
          </cell>
          <cell r="D21">
            <v>135.22016129032258</v>
          </cell>
          <cell r="E21">
            <v>406.21646505376344</v>
          </cell>
          <cell r="F21">
            <v>87.545900537634395</v>
          </cell>
          <cell r="G21">
            <v>36.733870967741936</v>
          </cell>
          <cell r="H21">
            <v>0</v>
          </cell>
          <cell r="I21">
            <v>56.704301075268816</v>
          </cell>
          <cell r="J21">
            <v>37.597849462365588</v>
          </cell>
          <cell r="K21">
            <v>186.04448924731179</v>
          </cell>
        </row>
        <row r="22">
          <cell r="B22">
            <v>29.293212365591401</v>
          </cell>
          <cell r="C22">
            <v>0</v>
          </cell>
          <cell r="D22">
            <v>0</v>
          </cell>
          <cell r="E22">
            <v>75.869959677419359</v>
          </cell>
          <cell r="F22">
            <v>77.321908602150543</v>
          </cell>
          <cell r="G22">
            <v>162.3684139784946</v>
          </cell>
          <cell r="H22">
            <v>966.13857526881702</v>
          </cell>
          <cell r="I22">
            <v>0</v>
          </cell>
          <cell r="J22">
            <v>129.9307123655914</v>
          </cell>
          <cell r="K22">
            <v>5.8674731182795696</v>
          </cell>
        </row>
        <row r="24">
          <cell r="B24">
            <v>148.762</v>
          </cell>
          <cell r="C24">
            <v>223.64279999999999</v>
          </cell>
          <cell r="D24">
            <v>100.60380000000001</v>
          </cell>
          <cell r="E24">
            <v>302.22505000000001</v>
          </cell>
          <cell r="F24">
            <v>65.134149999999991</v>
          </cell>
          <cell r="G24">
            <v>27.33</v>
          </cell>
          <cell r="H24">
            <v>0</v>
          </cell>
          <cell r="I24">
            <v>42.188000000000002</v>
          </cell>
          <cell r="J24">
            <v>27.972799999999999</v>
          </cell>
          <cell r="K24">
            <v>138.41709999999998</v>
          </cell>
        </row>
        <row r="25">
          <cell r="B25">
            <v>21.794150000000002</v>
          </cell>
          <cell r="C25">
            <v>0</v>
          </cell>
          <cell r="D25">
            <v>0</v>
          </cell>
          <cell r="E25">
            <v>56.447249999999997</v>
          </cell>
          <cell r="F25">
            <v>57.527500000000003</v>
          </cell>
          <cell r="G25">
            <v>120.8021</v>
          </cell>
          <cell r="H25">
            <v>718.80709999999988</v>
          </cell>
          <cell r="I25">
            <v>0</v>
          </cell>
          <cell r="J25">
            <v>96.668449999999993</v>
          </cell>
          <cell r="K25">
            <v>4.3653999999999993</v>
          </cell>
        </row>
        <row r="27">
          <cell r="B27">
            <v>2.2455449574948032</v>
          </cell>
          <cell r="C27">
            <v>2.3877512548702251</v>
          </cell>
          <cell r="D27">
            <v>2.8099116572737688</v>
          </cell>
          <cell r="E27">
            <v>1.9402384239841521</v>
          </cell>
          <cell r="F27">
            <v>0.51412690334594568</v>
          </cell>
          <cell r="G27">
            <v>0.78515620471812453</v>
          </cell>
          <cell r="H27">
            <v>0</v>
          </cell>
          <cell r="I27">
            <v>0.59341140731113629</v>
          </cell>
          <cell r="J27">
            <v>0.74007710639513968</v>
          </cell>
          <cell r="K27">
            <v>3.5602084931583864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0.63784514792398805</v>
          </cell>
          <cell r="F28">
            <v>1.6243683873327093</v>
          </cell>
          <cell r="G28">
            <v>2.3961124914678371</v>
          </cell>
          <cell r="H28">
            <v>2.7357228942394807</v>
          </cell>
          <cell r="I28">
            <v>0</v>
          </cell>
          <cell r="J28">
            <v>2.8215447819505899</v>
          </cell>
          <cell r="K28">
            <v>0.75527098844083262</v>
          </cell>
        </row>
        <row r="30">
          <cell r="B30">
            <v>0.59934535848924675</v>
          </cell>
        </row>
        <row r="31">
          <cell r="B31">
            <v>1.755199994150072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330.2961149875473</v>
          </cell>
          <cell r="C38">
            <v>519.43896883154218</v>
          </cell>
          <cell r="D38">
            <v>272.36471117480113</v>
          </cell>
          <cell r="E38">
            <v>573.19680920925487</v>
          </cell>
          <cell r="F38">
            <v>51.847295943639139</v>
          </cell>
          <cell r="G38">
            <v>21.95935493877068</v>
          </cell>
          <cell r="H38">
            <v>0</v>
          </cell>
          <cell r="I38">
            <v>42.24648427024993</v>
          </cell>
          <cell r="J38">
            <v>18.59595957191496</v>
          </cell>
          <cell r="K38">
            <v>468.80082757235135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32.453975044487038</v>
          </cell>
          <cell r="F39">
            <v>89.48924634972191</v>
          </cell>
          <cell r="G39">
            <v>285.17543906665048</v>
          </cell>
          <cell r="H39">
            <v>1907.5355435323117</v>
          </cell>
          <cell r="I39">
            <v>0</v>
          </cell>
          <cell r="J39">
            <v>264.89544819644885</v>
          </cell>
          <cell r="K39">
            <v>2.1551146500843776</v>
          </cell>
        </row>
        <row r="41">
          <cell r="B41">
            <v>228.81807096402468</v>
          </cell>
          <cell r="C41">
            <v>328.84881129587995</v>
          </cell>
          <cell r="D41">
            <v>116.33293408276283</v>
          </cell>
          <cell r="E41">
            <v>458.40929744050027</v>
          </cell>
          <cell r="F41">
            <v>483.35405126082287</v>
          </cell>
          <cell r="G41">
            <v>162.7582255513399</v>
          </cell>
          <cell r="H41">
            <v>91.783748199043245</v>
          </cell>
          <cell r="I41">
            <v>155.82979320720418</v>
          </cell>
          <cell r="J41">
            <v>824.84904962082589</v>
          </cell>
          <cell r="K41">
            <v>152.71319734306013</v>
          </cell>
        </row>
        <row r="42">
          <cell r="B42">
            <v>46.5303518449184</v>
          </cell>
          <cell r="C42">
            <v>0</v>
          </cell>
          <cell r="D42">
            <v>0.15796799947350651</v>
          </cell>
          <cell r="E42">
            <v>246.60559917808513</v>
          </cell>
          <cell r="F42">
            <v>394.06440713346626</v>
          </cell>
          <cell r="G42">
            <v>489.81313116749578</v>
          </cell>
          <cell r="H42">
            <v>1832.80526059622</v>
          </cell>
          <cell r="I42">
            <v>2.8083199906401157</v>
          </cell>
          <cell r="J42">
            <v>263.5292375216801</v>
          </cell>
          <cell r="K42">
            <v>97.115215676323487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10">
        <row r="13">
          <cell r="H13">
            <v>720</v>
          </cell>
          <cell r="I13">
            <v>8.2191780821917804E-2</v>
          </cell>
        </row>
        <row r="21">
          <cell r="B21">
            <v>201.4997222222222</v>
          </cell>
          <cell r="C21">
            <v>304.41041666666666</v>
          </cell>
          <cell r="D21">
            <v>137.42305555555555</v>
          </cell>
          <cell r="E21">
            <v>409.94749999999993</v>
          </cell>
          <cell r="F21">
            <v>86.836666666666659</v>
          </cell>
          <cell r="G21">
            <v>36.086666666666666</v>
          </cell>
          <cell r="H21">
            <v>0</v>
          </cell>
          <cell r="I21">
            <v>60.836111111111109</v>
          </cell>
          <cell r="J21">
            <v>38.216805555555545</v>
          </cell>
          <cell r="K21">
            <v>190.06027777777777</v>
          </cell>
        </row>
        <row r="22">
          <cell r="B22">
            <v>29.187499999999996</v>
          </cell>
          <cell r="C22">
            <v>0</v>
          </cell>
          <cell r="D22">
            <v>0</v>
          </cell>
          <cell r="E22">
            <v>77.080555555555549</v>
          </cell>
          <cell r="F22">
            <v>77.858333333333334</v>
          </cell>
          <cell r="G22">
            <v>164.85833333333332</v>
          </cell>
          <cell r="H22">
            <v>979.15319444444435</v>
          </cell>
          <cell r="I22">
            <v>0</v>
          </cell>
          <cell r="J22">
            <v>131.37416666666667</v>
          </cell>
          <cell r="K22">
            <v>5.99263888888889</v>
          </cell>
        </row>
        <row r="24">
          <cell r="B24">
            <v>145.07979999999998</v>
          </cell>
          <cell r="C24">
            <v>219.1755</v>
          </cell>
          <cell r="D24">
            <v>98.944600000000008</v>
          </cell>
          <cell r="E24">
            <v>295.16219999999993</v>
          </cell>
          <cell r="F24">
            <v>62.522399999999998</v>
          </cell>
          <cell r="G24">
            <v>25.982400000000002</v>
          </cell>
          <cell r="H24">
            <v>0</v>
          </cell>
          <cell r="I24">
            <v>43.802</v>
          </cell>
          <cell r="J24">
            <v>27.516099999999994</v>
          </cell>
          <cell r="K24">
            <v>136.8434</v>
          </cell>
        </row>
        <row r="25">
          <cell r="B25">
            <v>21.014999999999997</v>
          </cell>
          <cell r="C25">
            <v>0</v>
          </cell>
          <cell r="D25">
            <v>0</v>
          </cell>
          <cell r="E25">
            <v>55.497999999999998</v>
          </cell>
          <cell r="F25">
            <v>56.058</v>
          </cell>
          <cell r="G25">
            <v>118.69799999999998</v>
          </cell>
          <cell r="H25">
            <v>704.99029999999993</v>
          </cell>
          <cell r="I25">
            <v>0</v>
          </cell>
          <cell r="J25">
            <v>94.589399999999998</v>
          </cell>
          <cell r="K25">
            <v>4.3147000000000011</v>
          </cell>
        </row>
        <row r="27">
          <cell r="B27">
            <v>2.2150278333332918</v>
          </cell>
          <cell r="C27">
            <v>2.3514720721674269</v>
          </cell>
          <cell r="D27">
            <v>2.7532519604145089</v>
          </cell>
          <cell r="E27">
            <v>1.9079330231148288</v>
          </cell>
          <cell r="F27">
            <v>0.50688849811660286</v>
          </cell>
          <cell r="G27">
            <v>0.77315979014719005</v>
          </cell>
          <cell r="H27">
            <v>0</v>
          </cell>
          <cell r="I27">
            <v>0.62496887124451805</v>
          </cell>
          <cell r="J27">
            <v>0.72987316184627549</v>
          </cell>
          <cell r="K27">
            <v>3.4909934029675127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0.62979759165968352</v>
          </cell>
          <cell r="F28">
            <v>1.6017376604963565</v>
          </cell>
          <cell r="G28">
            <v>2.3685346979413109</v>
          </cell>
          <cell r="H28">
            <v>2.6932352687905063</v>
          </cell>
          <cell r="I28">
            <v>0</v>
          </cell>
          <cell r="J28">
            <v>2.7830016005564358</v>
          </cell>
          <cell r="K28">
            <v>0.72370206080028909</v>
          </cell>
        </row>
        <row r="30">
          <cell r="B30">
            <v>0.58000682263733838</v>
          </cell>
        </row>
        <row r="31">
          <cell r="B31">
            <v>1.6985665397762868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318.16050741326131</v>
          </cell>
          <cell r="C38">
            <v>503.67515308809016</v>
          </cell>
          <cell r="D38">
            <v>263.74135279936002</v>
          </cell>
          <cell r="E38">
            <v>551.14409287451724</v>
          </cell>
          <cell r="F38">
            <v>48.406199534942473</v>
          </cell>
          <cell r="G38">
            <v>20.516036454322268</v>
          </cell>
          <cell r="H38">
            <v>0</v>
          </cell>
          <cell r="I38">
            <v>43.530656962367026</v>
          </cell>
          <cell r="J38">
            <v>18.056496924211029</v>
          </cell>
          <cell r="K38">
            <v>457.38704573645111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31.535055902024972</v>
          </cell>
          <cell r="F39">
            <v>86.329125097781528</v>
          </cell>
          <cell r="G39">
            <v>277.53760616731637</v>
          </cell>
          <cell r="H39">
            <v>1845.0101078601151</v>
          </cell>
          <cell r="I39">
            <v>0</v>
          </cell>
          <cell r="J39">
            <v>255.96217200446199</v>
          </cell>
          <cell r="K39">
            <v>2.0770000254725587</v>
          </cell>
        </row>
        <row r="41">
          <cell r="B41">
            <v>221.435004746483</v>
          </cell>
          <cell r="C41">
            <v>318.23814344465495</v>
          </cell>
          <cell r="D41">
            <v>112.5793242739074</v>
          </cell>
          <cell r="E41">
            <v>443.61821829416806</v>
          </cell>
          <cell r="F41">
            <v>467.7581022523342</v>
          </cell>
          <cell r="G41">
            <v>157.50665275539561</v>
          </cell>
          <cell r="H41">
            <v>88.82224481868198</v>
          </cell>
          <cell r="I41">
            <v>150.80177388570797</v>
          </cell>
          <cell r="J41">
            <v>798.23438965463674</v>
          </cell>
          <cell r="K41">
            <v>147.78573840799382</v>
          </cell>
        </row>
        <row r="42">
          <cell r="B42">
            <v>45.02899896946937</v>
          </cell>
          <cell r="C42">
            <v>0</v>
          </cell>
          <cell r="D42">
            <v>0.15287098857986584</v>
          </cell>
          <cell r="E42">
            <v>238.64859883856826</v>
          </cell>
          <cell r="F42">
            <v>381.34948649985915</v>
          </cell>
          <cell r="G42">
            <v>474.00877285612978</v>
          </cell>
          <cell r="H42">
            <v>1773.6677871185768</v>
          </cell>
          <cell r="I42">
            <v>2.7177064636420587</v>
          </cell>
          <cell r="J42">
            <v>255.02617741509124</v>
          </cell>
          <cell r="K42">
            <v>93.981686645821966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11">
        <row r="13">
          <cell r="H13">
            <v>744</v>
          </cell>
          <cell r="I13">
            <v>8.4931506849315067E-2</v>
          </cell>
        </row>
        <row r="21">
          <cell r="B21">
            <v>199.34032258064516</v>
          </cell>
          <cell r="C21">
            <v>300.70907258064517</v>
          </cell>
          <cell r="D21">
            <v>134.9850806451613</v>
          </cell>
          <cell r="E21">
            <v>403.97876344086023</v>
          </cell>
          <cell r="F21">
            <v>87.498387096774181</v>
          </cell>
          <cell r="G21">
            <v>37.480645161290319</v>
          </cell>
          <cell r="H21">
            <v>0</v>
          </cell>
          <cell r="I21">
            <v>57.133064516129032</v>
          </cell>
          <cell r="J21">
            <v>37.960416666666667</v>
          </cell>
          <cell r="K21">
            <v>185.58064516129028</v>
          </cell>
        </row>
        <row r="22">
          <cell r="B22">
            <v>29.40994623655914</v>
          </cell>
          <cell r="C22">
            <v>0</v>
          </cell>
          <cell r="D22">
            <v>0</v>
          </cell>
          <cell r="E22">
            <v>75.695564516129039</v>
          </cell>
          <cell r="F22">
            <v>78.311155913978496</v>
          </cell>
          <cell r="G22">
            <v>162.3529569892473</v>
          </cell>
          <cell r="H22">
            <v>963.49805107526868</v>
          </cell>
          <cell r="I22">
            <v>0</v>
          </cell>
          <cell r="J22">
            <v>129.6649193548387</v>
          </cell>
          <cell r="K22">
            <v>5.9105510752688168</v>
          </cell>
        </row>
        <row r="24">
          <cell r="B24">
            <v>148.3092</v>
          </cell>
          <cell r="C24">
            <v>223.72754999999998</v>
          </cell>
          <cell r="D24">
            <v>100.42890000000001</v>
          </cell>
          <cell r="E24">
            <v>300.56020000000001</v>
          </cell>
          <cell r="F24">
            <v>65.098799999999997</v>
          </cell>
          <cell r="G24">
            <v>27.8856</v>
          </cell>
          <cell r="H24">
            <v>0</v>
          </cell>
          <cell r="I24">
            <v>42.506999999999998</v>
          </cell>
          <cell r="J24">
            <v>28.242549999999998</v>
          </cell>
          <cell r="K24">
            <v>138.07199999999997</v>
          </cell>
        </row>
        <row r="25">
          <cell r="B25">
            <v>21.881</v>
          </cell>
          <cell r="C25">
            <v>0</v>
          </cell>
          <cell r="D25">
            <v>0</v>
          </cell>
          <cell r="E25">
            <v>56.317500000000003</v>
          </cell>
          <cell r="F25">
            <v>58.263500000000001</v>
          </cell>
          <cell r="G25">
            <v>120.7906</v>
          </cell>
          <cell r="H25">
            <v>716.84254999999996</v>
          </cell>
          <cell r="I25">
            <v>0</v>
          </cell>
          <cell r="J25">
            <v>96.470699999999994</v>
          </cell>
          <cell r="K25">
            <v>4.3974500000000001</v>
          </cell>
        </row>
        <row r="27">
          <cell r="B27">
            <v>2.2545554571089728</v>
          </cell>
          <cell r="C27">
            <v>2.4000786135361829</v>
          </cell>
          <cell r="D27">
            <v>2.8216891009671423</v>
          </cell>
          <cell r="E27">
            <v>1.9508746048884251</v>
          </cell>
          <cell r="F27">
            <v>0.51108151085268172</v>
          </cell>
          <cell r="G27">
            <v>0.78738949120279123</v>
          </cell>
          <cell r="H27">
            <v>0</v>
          </cell>
          <cell r="I27">
            <v>0.60702951016740003</v>
          </cell>
          <cell r="J27">
            <v>0.73851509753241851</v>
          </cell>
          <cell r="K27">
            <v>3.5660879551565947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0.64437531832422623</v>
          </cell>
          <cell r="F28">
            <v>1.6323435292876953</v>
          </cell>
          <cell r="G28">
            <v>2.4040556494530705</v>
          </cell>
          <cell r="H28">
            <v>2.7443946729766697</v>
          </cell>
          <cell r="I28">
            <v>0</v>
          </cell>
          <cell r="J28">
            <v>2.8254110358065923</v>
          </cell>
          <cell r="K28">
            <v>0.75762056478318418</v>
          </cell>
        </row>
        <row r="30">
          <cell r="B30">
            <v>0.5981607503364833</v>
          </cell>
        </row>
        <row r="31">
          <cell r="B31">
            <v>1.755191213567417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330.2207054930588</v>
          </cell>
          <cell r="C38">
            <v>520.20153541276886</v>
          </cell>
          <cell r="D38">
            <v>272.12035073480621</v>
          </cell>
          <cell r="E38">
            <v>572.42044171779571</v>
          </cell>
          <cell r="F38">
            <v>52.374208597232339</v>
          </cell>
          <cell r="G38">
            <v>22.550626548648481</v>
          </cell>
          <cell r="H38">
            <v>0</v>
          </cell>
          <cell r="I38">
            <v>42.834132644703423</v>
          </cell>
          <cell r="J38">
            <v>18.715400646779909</v>
          </cell>
          <cell r="K38">
            <v>467.32415103258165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32.731551959775658</v>
          </cell>
          <cell r="F39">
            <v>90.727482502450997</v>
          </cell>
          <cell r="G39">
            <v>285.66329031047235</v>
          </cell>
          <cell r="H39">
            <v>1906.0094998673026</v>
          </cell>
          <cell r="I39">
            <v>0</v>
          </cell>
          <cell r="J39">
            <v>264.42478022607878</v>
          </cell>
          <cell r="K39">
            <v>2.1650379288302464</v>
          </cell>
        </row>
        <row r="41">
          <cell r="B41">
            <v>228.3658112634626</v>
          </cell>
          <cell r="C41">
            <v>328.19884049462161</v>
          </cell>
          <cell r="D41">
            <v>116.10300164031145</v>
          </cell>
          <cell r="E41">
            <v>457.50324989485904</v>
          </cell>
          <cell r="F41">
            <v>482.39870032386358</v>
          </cell>
          <cell r="G41">
            <v>168.35832478970653</v>
          </cell>
          <cell r="H41">
            <v>91.602337306529037</v>
          </cell>
          <cell r="I41">
            <v>155.52179508748566</v>
          </cell>
          <cell r="J41">
            <v>823.21873265058503</v>
          </cell>
          <cell r="K41">
            <v>152.4113591857359</v>
          </cell>
        </row>
        <row r="42">
          <cell r="B42">
            <v>46.530119071672232</v>
          </cell>
          <cell r="C42">
            <v>0</v>
          </cell>
          <cell r="D42">
            <v>0.15796720922106752</v>
          </cell>
          <cell r="E42">
            <v>246.60436550622205</v>
          </cell>
          <cell r="F42">
            <v>394.06243578256056</v>
          </cell>
          <cell r="G42">
            <v>489.8106808229777</v>
          </cell>
          <cell r="H42">
            <v>1832.7960917846117</v>
          </cell>
          <cell r="I42">
            <v>2.8083059417078675</v>
          </cell>
          <cell r="J42">
            <v>263.52791918743912</v>
          </cell>
          <cell r="K42">
            <v>97.114729846685179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12">
        <row r="13">
          <cell r="H13">
            <v>720</v>
          </cell>
          <cell r="I13">
            <v>8.2191780821917804E-2</v>
          </cell>
        </row>
        <row r="21">
          <cell r="B21">
            <v>201.4997222222222</v>
          </cell>
          <cell r="C21">
            <v>304.41041666666666</v>
          </cell>
          <cell r="D21">
            <v>137.42305555555555</v>
          </cell>
          <cell r="E21">
            <v>409.94749999999993</v>
          </cell>
          <cell r="F21">
            <v>86.836666666666659</v>
          </cell>
          <cell r="G21">
            <v>36.086666666666666</v>
          </cell>
          <cell r="H21">
            <v>0</v>
          </cell>
          <cell r="I21">
            <v>60.836111111111109</v>
          </cell>
          <cell r="J21">
            <v>38.216805555555545</v>
          </cell>
          <cell r="K21">
            <v>190.06027777777777</v>
          </cell>
        </row>
        <row r="22">
          <cell r="B22">
            <v>29.187499999999996</v>
          </cell>
          <cell r="C22">
            <v>0</v>
          </cell>
          <cell r="D22">
            <v>0</v>
          </cell>
          <cell r="E22">
            <v>77.080555555555549</v>
          </cell>
          <cell r="F22">
            <v>77.858333333333334</v>
          </cell>
          <cell r="G22">
            <v>164.85833333333332</v>
          </cell>
          <cell r="H22">
            <v>979.15319444444435</v>
          </cell>
          <cell r="I22">
            <v>0</v>
          </cell>
          <cell r="J22">
            <v>131.37416666666667</v>
          </cell>
          <cell r="K22">
            <v>5.99263888888889</v>
          </cell>
        </row>
        <row r="24">
          <cell r="B24">
            <v>145.07979999999998</v>
          </cell>
          <cell r="C24">
            <v>219.1755</v>
          </cell>
          <cell r="D24">
            <v>98.944600000000008</v>
          </cell>
          <cell r="E24">
            <v>295.16219999999993</v>
          </cell>
          <cell r="F24">
            <v>62.522399999999998</v>
          </cell>
          <cell r="G24">
            <v>25.982400000000002</v>
          </cell>
          <cell r="H24">
            <v>0</v>
          </cell>
          <cell r="I24">
            <v>43.802</v>
          </cell>
          <cell r="J24">
            <v>27.516099999999994</v>
          </cell>
          <cell r="K24">
            <v>136.8434</v>
          </cell>
        </row>
        <row r="25">
          <cell r="B25">
            <v>21.014999999999997</v>
          </cell>
          <cell r="C25">
            <v>0</v>
          </cell>
          <cell r="D25">
            <v>0</v>
          </cell>
          <cell r="E25">
            <v>55.497999999999998</v>
          </cell>
          <cell r="F25">
            <v>56.058</v>
          </cell>
          <cell r="G25">
            <v>118.69799999999998</v>
          </cell>
          <cell r="H25">
            <v>704.99029999999993</v>
          </cell>
          <cell r="I25">
            <v>0</v>
          </cell>
          <cell r="J25">
            <v>94.589399999999998</v>
          </cell>
          <cell r="K25">
            <v>4.3147000000000011</v>
          </cell>
        </row>
        <row r="27">
          <cell r="B27">
            <v>2.2150278333332918</v>
          </cell>
          <cell r="C27">
            <v>2.3514720721674269</v>
          </cell>
          <cell r="D27">
            <v>2.7532519604145089</v>
          </cell>
          <cell r="E27">
            <v>1.9079330231148288</v>
          </cell>
          <cell r="F27">
            <v>0.50688849811660286</v>
          </cell>
          <cell r="G27">
            <v>0.77315979014719005</v>
          </cell>
          <cell r="H27">
            <v>0</v>
          </cell>
          <cell r="I27">
            <v>0.62496887124451805</v>
          </cell>
          <cell r="J27">
            <v>0.72987316184627549</v>
          </cell>
          <cell r="K27">
            <v>3.4909934029675127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0.62979759165968352</v>
          </cell>
          <cell r="F28">
            <v>1.6017376604963565</v>
          </cell>
          <cell r="G28">
            <v>2.3685346979413109</v>
          </cell>
          <cell r="H28">
            <v>2.6932352687905063</v>
          </cell>
          <cell r="I28">
            <v>0</v>
          </cell>
          <cell r="J28">
            <v>2.7830016005564358</v>
          </cell>
          <cell r="K28">
            <v>0.72370206080028909</v>
          </cell>
        </row>
        <row r="30">
          <cell r="B30">
            <v>0.57886333299491666</v>
          </cell>
        </row>
        <row r="31">
          <cell r="B31">
            <v>1.6985665397762868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318.16050741326131</v>
          </cell>
          <cell r="C38">
            <v>503.67515308809016</v>
          </cell>
          <cell r="D38">
            <v>263.74135279936002</v>
          </cell>
          <cell r="E38">
            <v>551.14409287451724</v>
          </cell>
          <cell r="F38">
            <v>48.406199534942473</v>
          </cell>
          <cell r="G38">
            <v>20.516036454322268</v>
          </cell>
          <cell r="H38">
            <v>0</v>
          </cell>
          <cell r="I38">
            <v>43.530656962367026</v>
          </cell>
          <cell r="J38">
            <v>18.056496924211029</v>
          </cell>
          <cell r="K38">
            <v>457.38704573645111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31.535055902024972</v>
          </cell>
          <cell r="F39">
            <v>86.329125097781528</v>
          </cell>
          <cell r="G39">
            <v>277.53760616731637</v>
          </cell>
          <cell r="H39">
            <v>1845.0101078601151</v>
          </cell>
          <cell r="I39">
            <v>0</v>
          </cell>
          <cell r="J39">
            <v>255.96217200446199</v>
          </cell>
          <cell r="K39">
            <v>2.0770000254725587</v>
          </cell>
        </row>
        <row r="41">
          <cell r="B41">
            <v>220.99844327079936</v>
          </cell>
          <cell r="C41">
            <v>317.61073354765097</v>
          </cell>
          <cell r="D41">
            <v>112.35737293431337</v>
          </cell>
          <cell r="E41">
            <v>442.74362024116198</v>
          </cell>
          <cell r="F41">
            <v>466.83591216041049</v>
          </cell>
          <cell r="G41">
            <v>162.92687370474923</v>
          </cell>
          <cell r="H41">
            <v>88.647130814841532</v>
          </cell>
          <cell r="I41">
            <v>150.50446657867835</v>
          </cell>
          <cell r="J41">
            <v>796.66066203425407</v>
          </cell>
          <cell r="K41">
            <v>147.49437724710478</v>
          </cell>
        </row>
        <row r="42">
          <cell r="B42">
            <v>45.02899896946937</v>
          </cell>
          <cell r="C42">
            <v>0</v>
          </cell>
          <cell r="D42">
            <v>0.15287098857986584</v>
          </cell>
          <cell r="E42">
            <v>238.64859883856826</v>
          </cell>
          <cell r="F42">
            <v>381.34948649985915</v>
          </cell>
          <cell r="G42">
            <v>474.00877285612978</v>
          </cell>
          <cell r="H42">
            <v>1773.6677871185768</v>
          </cell>
          <cell r="I42">
            <v>2.7177064636420587</v>
          </cell>
          <cell r="J42">
            <v>255.02617741509124</v>
          </cell>
          <cell r="K42">
            <v>93.981686645821966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"/>
      <sheetName val="M01"/>
      <sheetName val="M02"/>
      <sheetName val="M03"/>
      <sheetName val="M04"/>
      <sheetName val="M05"/>
      <sheetName val="M06"/>
      <sheetName val="M07"/>
      <sheetName val="M08"/>
      <sheetName val="M09"/>
      <sheetName val="M10"/>
      <sheetName val="M11"/>
      <sheetName val="M12"/>
    </sheetNames>
    <sheetDataSet>
      <sheetData sheetId="0"/>
      <sheetData sheetId="1">
        <row r="13">
          <cell r="H13">
            <v>744</v>
          </cell>
          <cell r="I13">
            <v>8.4699453551912565E-2</v>
          </cell>
        </row>
        <row r="21">
          <cell r="B21">
            <v>156.47869623655913</v>
          </cell>
          <cell r="C21">
            <v>233.66290322580647</v>
          </cell>
          <cell r="D21">
            <v>127.84623655913977</v>
          </cell>
          <cell r="E21">
            <v>477.73655913978496</v>
          </cell>
          <cell r="F21">
            <v>220.91848118279572</v>
          </cell>
          <cell r="G21">
            <v>70.748387096774195</v>
          </cell>
          <cell r="H21">
            <v>0</v>
          </cell>
          <cell r="I21">
            <v>50.321908602150536</v>
          </cell>
          <cell r="J21">
            <v>27.80141129032258</v>
          </cell>
          <cell r="K21">
            <v>143.03051075268814</v>
          </cell>
        </row>
        <row r="22">
          <cell r="B22">
            <v>5.637096774193548</v>
          </cell>
          <cell r="C22">
            <v>0</v>
          </cell>
          <cell r="D22">
            <v>7.0967741935483886E-2</v>
          </cell>
          <cell r="E22">
            <v>139.44475806451615</v>
          </cell>
          <cell r="F22">
            <v>43.897715053763434</v>
          </cell>
          <cell r="G22">
            <v>175.23245967741934</v>
          </cell>
          <cell r="H22">
            <v>1008.2976478494625</v>
          </cell>
          <cell r="I22">
            <v>0</v>
          </cell>
          <cell r="J22">
            <v>132.70880376344084</v>
          </cell>
          <cell r="K22">
            <v>3.5575268817204302</v>
          </cell>
        </row>
        <row r="24">
          <cell r="B24">
            <v>116.42014999999999</v>
          </cell>
          <cell r="C24">
            <v>173.84520000000001</v>
          </cell>
          <cell r="D24">
            <v>95.117599999999996</v>
          </cell>
          <cell r="E24">
            <v>355.43599999999998</v>
          </cell>
          <cell r="F24">
            <v>164.36335</v>
          </cell>
          <cell r="G24">
            <v>52.636800000000001</v>
          </cell>
          <cell r="H24">
            <v>0</v>
          </cell>
          <cell r="I24">
            <v>37.439500000000002</v>
          </cell>
          <cell r="J24">
            <v>20.684249999999999</v>
          </cell>
          <cell r="K24">
            <v>106.41469999999998</v>
          </cell>
        </row>
        <row r="25">
          <cell r="B25">
            <v>4.194</v>
          </cell>
          <cell r="C25">
            <v>0</v>
          </cell>
          <cell r="D25">
            <v>5.2800000000000014E-2</v>
          </cell>
          <cell r="E25">
            <v>103.74690000000001</v>
          </cell>
          <cell r="F25">
            <v>32.6599</v>
          </cell>
          <cell r="G25">
            <v>130.37295</v>
          </cell>
          <cell r="H25">
            <v>750.17345000000012</v>
          </cell>
          <cell r="I25">
            <v>0</v>
          </cell>
          <cell r="J25">
            <v>98.735349999999997</v>
          </cell>
          <cell r="K25">
            <v>2.6468000000000003</v>
          </cell>
        </row>
        <row r="27">
          <cell r="B27">
            <v>2.3492048037457272</v>
          </cell>
          <cell r="C27">
            <v>2.1446494528861724</v>
          </cell>
          <cell r="D27">
            <v>2.5449745745992773</v>
          </cell>
          <cell r="E27">
            <v>1.7271524259186481</v>
          </cell>
          <cell r="F27">
            <v>0.55610334311774856</v>
          </cell>
          <cell r="G27">
            <v>0.74708451663198749</v>
          </cell>
          <cell r="H27">
            <v>0</v>
          </cell>
          <cell r="I27">
            <v>0.31881438058296585</v>
          </cell>
          <cell r="J27">
            <v>1.1815666220701488</v>
          </cell>
          <cell r="K27">
            <v>3.3255622185722311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0.83747862152197339</v>
          </cell>
          <cell r="F28">
            <v>1.2979667021807637</v>
          </cell>
          <cell r="G28">
            <v>1.9049561525467598</v>
          </cell>
          <cell r="H28">
            <v>2.2149452712714788</v>
          </cell>
          <cell r="I28">
            <v>0</v>
          </cell>
          <cell r="J28">
            <v>2.724781872213482</v>
          </cell>
          <cell r="K28">
            <v>0.91543453166210009</v>
          </cell>
        </row>
        <row r="30">
          <cell r="B30">
            <v>0.61065780599826291</v>
          </cell>
        </row>
        <row r="31">
          <cell r="B31">
            <v>1.7609131813746233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266.42958770743945</v>
          </cell>
          <cell r="C38">
            <v>355.68679151836437</v>
          </cell>
          <cell r="D38">
            <v>234.29367217531237</v>
          </cell>
          <cell r="E38">
            <v>602.04675316957218</v>
          </cell>
          <cell r="F38">
            <v>134.22949224820988</v>
          </cell>
          <cell r="G38">
            <v>39.730113156808763</v>
          </cell>
          <cell r="H38">
            <v>0</v>
          </cell>
          <cell r="I38">
            <v>15.164543112450323</v>
          </cell>
          <cell r="J38">
            <v>24.259471759836686</v>
          </cell>
          <cell r="K38">
            <v>337.36298651215679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84.647086888683774</v>
          </cell>
          <cell r="F39">
            <v>41.049070934270986</v>
          </cell>
          <cell r="G39">
            <v>245.38304831233478</v>
          </cell>
          <cell r="H39">
            <v>1612.5719780657146</v>
          </cell>
          <cell r="I39">
            <v>0</v>
          </cell>
          <cell r="J39">
            <v>263.18557206052196</v>
          </cell>
          <cell r="K39">
            <v>2.0991437239187549</v>
          </cell>
        </row>
        <row r="41">
          <cell r="B41">
            <v>233.13693717401685</v>
          </cell>
          <cell r="C41">
            <v>335.05572499512698</v>
          </cell>
          <cell r="D41">
            <v>118.52868014426288</v>
          </cell>
          <cell r="E41">
            <v>485.38135709771916</v>
          </cell>
          <cell r="F41">
            <v>492.47720080341912</v>
          </cell>
          <cell r="G41">
            <v>171.87574607627107</v>
          </cell>
          <cell r="H41">
            <v>93.516136410573992</v>
          </cell>
          <cell r="I41">
            <v>158.77102955954834</v>
          </cell>
          <cell r="J41">
            <v>840.41780550510919</v>
          </cell>
          <cell r="K41">
            <v>155.5956089683574</v>
          </cell>
        </row>
        <row r="42">
          <cell r="B42">
            <v>48.742076860449572</v>
          </cell>
          <cell r="C42">
            <v>0</v>
          </cell>
          <cell r="D42">
            <v>0.15848218632371608</v>
          </cell>
          <cell r="E42">
            <v>250.77164615956013</v>
          </cell>
          <cell r="F42">
            <v>395.85775412561202</v>
          </cell>
          <cell r="G42">
            <v>505.36447392270316</v>
          </cell>
          <cell r="H42">
            <v>1877.8730348815263</v>
          </cell>
          <cell r="I42">
            <v>2.9935524083368596</v>
          </cell>
          <cell r="J42">
            <v>270.91649295448582</v>
          </cell>
          <cell r="K42">
            <v>100.14313262477484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2">
        <row r="13">
          <cell r="H13">
            <v>744</v>
          </cell>
          <cell r="I13">
            <v>8.4699453551912565E-2</v>
          </cell>
        </row>
        <row r="21">
          <cell r="B21">
            <v>156.47869623655913</v>
          </cell>
          <cell r="C21">
            <v>233.66290322580647</v>
          </cell>
          <cell r="D21">
            <v>127.84623655913977</v>
          </cell>
          <cell r="E21">
            <v>477.73655913978496</v>
          </cell>
          <cell r="F21">
            <v>220.91848118279572</v>
          </cell>
          <cell r="G21">
            <v>70.748387096774195</v>
          </cell>
          <cell r="H21">
            <v>0</v>
          </cell>
          <cell r="I21">
            <v>50.321908602150536</v>
          </cell>
          <cell r="J21">
            <v>27.80141129032258</v>
          </cell>
          <cell r="K21">
            <v>143.03051075268814</v>
          </cell>
        </row>
        <row r="22">
          <cell r="B22">
            <v>5.637096774193548</v>
          </cell>
          <cell r="C22">
            <v>0</v>
          </cell>
          <cell r="D22">
            <v>7.0967741935483886E-2</v>
          </cell>
          <cell r="E22">
            <v>139.44475806451615</v>
          </cell>
          <cell r="F22">
            <v>43.897715053763434</v>
          </cell>
          <cell r="G22">
            <v>175.23245967741934</v>
          </cell>
          <cell r="H22">
            <v>1008.2976478494625</v>
          </cell>
          <cell r="I22">
            <v>0</v>
          </cell>
          <cell r="J22">
            <v>132.70880376344084</v>
          </cell>
          <cell r="K22">
            <v>3.5575268817204302</v>
          </cell>
        </row>
        <row r="24">
          <cell r="B24">
            <v>116.42014999999999</v>
          </cell>
          <cell r="C24">
            <v>173.84520000000001</v>
          </cell>
          <cell r="D24">
            <v>95.117599999999996</v>
          </cell>
          <cell r="E24">
            <v>355.43599999999998</v>
          </cell>
          <cell r="F24">
            <v>164.36335</v>
          </cell>
          <cell r="G24">
            <v>52.636800000000001</v>
          </cell>
          <cell r="H24">
            <v>0</v>
          </cell>
          <cell r="I24">
            <v>37.439500000000002</v>
          </cell>
          <cell r="J24">
            <v>20.684249999999999</v>
          </cell>
          <cell r="K24">
            <v>106.41469999999998</v>
          </cell>
        </row>
        <row r="25">
          <cell r="B25">
            <v>4.194</v>
          </cell>
          <cell r="C25">
            <v>0</v>
          </cell>
          <cell r="D25">
            <v>5.2800000000000014E-2</v>
          </cell>
          <cell r="E25">
            <v>103.74690000000001</v>
          </cell>
          <cell r="F25">
            <v>32.6599</v>
          </cell>
          <cell r="G25">
            <v>130.37295</v>
          </cell>
          <cell r="H25">
            <v>750.17345000000012</v>
          </cell>
          <cell r="I25">
            <v>0</v>
          </cell>
          <cell r="J25">
            <v>98.735349999999997</v>
          </cell>
          <cell r="K25">
            <v>2.6468000000000003</v>
          </cell>
        </row>
        <row r="27">
          <cell r="B27">
            <v>2.3108728578955575</v>
          </cell>
          <cell r="C27">
            <v>2.1112078646975361</v>
          </cell>
          <cell r="D27">
            <v>2.5036068120139894</v>
          </cell>
          <cell r="E27">
            <v>1.7012479033989829</v>
          </cell>
          <cell r="F27">
            <v>0.54337791188388107</v>
          </cell>
          <cell r="G27">
            <v>0.73637907528417657</v>
          </cell>
          <cell r="H27">
            <v>0</v>
          </cell>
          <cell r="I27">
            <v>0.31146912949705774</v>
          </cell>
          <cell r="J27">
            <v>1.1632764061951502</v>
          </cell>
          <cell r="K27">
            <v>3.2700016520283706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0.84824230295060243</v>
          </cell>
          <cell r="F28">
            <v>1.3158005794107759</v>
          </cell>
          <cell r="G28">
            <v>1.9297299021879561</v>
          </cell>
          <cell r="H28">
            <v>2.2431851628532833</v>
          </cell>
          <cell r="I28">
            <v>0</v>
          </cell>
          <cell r="J28">
            <v>2.7604239299624247</v>
          </cell>
          <cell r="K28">
            <v>0.93163680867834719</v>
          </cell>
        </row>
        <row r="30">
          <cell r="B30">
            <v>0.61693243067340509</v>
          </cell>
        </row>
        <row r="31">
          <cell r="B31">
            <v>1.7447482221269426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262.29433738912309</v>
          </cell>
          <cell r="C38">
            <v>351.6188229647459</v>
          </cell>
          <cell r="D38">
            <v>230.52649205482558</v>
          </cell>
          <cell r="E38">
            <v>591.3733852884576</v>
          </cell>
          <cell r="F38">
            <v>131.15627006419592</v>
          </cell>
          <cell r="G38">
            <v>39.194875346830536</v>
          </cell>
          <cell r="H38">
            <v>0</v>
          </cell>
          <cell r="I38">
            <v>14.78965324942731</v>
          </cell>
          <cell r="J38">
            <v>23.824018300284727</v>
          </cell>
          <cell r="K38">
            <v>332.72910191703909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85.818683473882047</v>
          </cell>
          <cell r="F39">
            <v>41.289229058601222</v>
          </cell>
          <cell r="G39">
            <v>248.37635147698211</v>
          </cell>
          <cell r="H39">
            <v>1636.1058159709346</v>
          </cell>
          <cell r="I39">
            <v>0</v>
          </cell>
          <cell r="J39">
            <v>266.91661117932739</v>
          </cell>
          <cell r="K39">
            <v>2.1256636109389486</v>
          </cell>
        </row>
        <row r="41">
          <cell r="B41">
            <v>235.53246338249261</v>
          </cell>
          <cell r="C41">
            <v>338.49848606188397</v>
          </cell>
          <cell r="D41">
            <v>119.74658479370798</v>
          </cell>
          <cell r="E41">
            <v>490.36874252075586</v>
          </cell>
          <cell r="F41">
            <v>497.53749736518103</v>
          </cell>
          <cell r="G41">
            <v>173.6418019373366</v>
          </cell>
          <cell r="H41">
            <v>94.477032433325263</v>
          </cell>
          <cell r="I41">
            <v>160.40243197508531</v>
          </cell>
          <cell r="J41">
            <v>849.05325771427363</v>
          </cell>
          <cell r="K41">
            <v>157.19438333558364</v>
          </cell>
        </row>
        <row r="42">
          <cell r="B42">
            <v>48.294630788473768</v>
          </cell>
          <cell r="C42">
            <v>0</v>
          </cell>
          <cell r="D42">
            <v>0.15702733999142482</v>
          </cell>
          <cell r="E42">
            <v>248.4695943130979</v>
          </cell>
          <cell r="F42">
            <v>392.22383024395668</v>
          </cell>
          <cell r="G42">
            <v>500.72529226821132</v>
          </cell>
          <cell r="H42">
            <v>1860.6343990406147</v>
          </cell>
          <cell r="I42">
            <v>2.9660719776158024</v>
          </cell>
          <cell r="J42">
            <v>268.42951397423013</v>
          </cell>
          <cell r="K42">
            <v>99.223831392359244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3">
        <row r="13">
          <cell r="H13">
            <v>720</v>
          </cell>
          <cell r="I13">
            <v>8.1967213114754106E-2</v>
          </cell>
        </row>
        <row r="21">
          <cell r="B21">
            <v>156.31243055555555</v>
          </cell>
          <cell r="C21">
            <v>232.96930555555559</v>
          </cell>
          <cell r="D21">
            <v>127.596875</v>
          </cell>
          <cell r="E21">
            <v>476.580625</v>
          </cell>
          <cell r="F21">
            <v>220.20118055555557</v>
          </cell>
          <cell r="G21">
            <v>70.86666666666666</v>
          </cell>
          <cell r="H21">
            <v>0</v>
          </cell>
          <cell r="I21">
            <v>50.054930555555551</v>
          </cell>
          <cell r="J21">
            <v>27.755416666666665</v>
          </cell>
          <cell r="K21">
            <v>142.99347222222221</v>
          </cell>
        </row>
        <row r="22">
          <cell r="B22">
            <v>5.6587500000000004</v>
          </cell>
          <cell r="C22">
            <v>0</v>
          </cell>
          <cell r="D22">
            <v>7.0000000000000007E-2</v>
          </cell>
          <cell r="E22">
            <v>139.11104166666669</v>
          </cell>
          <cell r="F22">
            <v>43.955347222222223</v>
          </cell>
          <cell r="G22">
            <v>174.875</v>
          </cell>
          <cell r="H22">
            <v>1005.9302777777776</v>
          </cell>
          <cell r="I22">
            <v>0</v>
          </cell>
          <cell r="J22">
            <v>132.45444444444445</v>
          </cell>
          <cell r="K22">
            <v>3.5734722222222222</v>
          </cell>
        </row>
        <row r="24">
          <cell r="B24">
            <v>112.54495</v>
          </cell>
          <cell r="C24">
            <v>167.73790000000002</v>
          </cell>
          <cell r="D24">
            <v>91.869749999999996</v>
          </cell>
          <cell r="E24">
            <v>343.13804999999996</v>
          </cell>
          <cell r="F24">
            <v>158.54485</v>
          </cell>
          <cell r="G24">
            <v>51.024000000000001</v>
          </cell>
          <cell r="H24">
            <v>0</v>
          </cell>
          <cell r="I24">
            <v>36.039549999999998</v>
          </cell>
          <cell r="J24">
            <v>19.983899999999998</v>
          </cell>
          <cell r="K24">
            <v>102.95529999999999</v>
          </cell>
        </row>
        <row r="25">
          <cell r="B25">
            <v>4.0743</v>
          </cell>
          <cell r="C25">
            <v>0</v>
          </cell>
          <cell r="D25">
            <v>5.0400000000000007E-2</v>
          </cell>
          <cell r="E25">
            <v>100.15995000000001</v>
          </cell>
          <cell r="F25">
            <v>31.647849999999998</v>
          </cell>
          <cell r="G25">
            <v>125.91</v>
          </cell>
          <cell r="H25">
            <v>724.26979999999992</v>
          </cell>
          <cell r="I25">
            <v>0</v>
          </cell>
          <cell r="J25">
            <v>95.367199999999997</v>
          </cell>
          <cell r="K25">
            <v>2.5729000000000002</v>
          </cell>
        </row>
        <row r="27">
          <cell r="B27">
            <v>2.3542911110363489</v>
          </cell>
          <cell r="C27">
            <v>2.1496125666283965</v>
          </cell>
          <cell r="D27">
            <v>2.5518311982572617</v>
          </cell>
          <cell r="E27">
            <v>1.7313865273726041</v>
          </cell>
          <cell r="F27">
            <v>0.55638669826498222</v>
          </cell>
          <cell r="G27">
            <v>0.74877441001877354</v>
          </cell>
          <cell r="H27">
            <v>0</v>
          </cell>
          <cell r="I27">
            <v>0.31962737619216036</v>
          </cell>
          <cell r="J27">
            <v>1.1837659033650552</v>
          </cell>
          <cell r="K27">
            <v>3.3308422553101105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0.83962356962890738</v>
          </cell>
          <cell r="F28">
            <v>1.3012784419484626</v>
          </cell>
          <cell r="G28">
            <v>1.9095222343865612</v>
          </cell>
          <cell r="H28">
            <v>2.2204692081351518</v>
          </cell>
          <cell r="I28">
            <v>0</v>
          </cell>
          <cell r="J28">
            <v>2.7312003587827394</v>
          </cell>
          <cell r="K28">
            <v>0.91307197296346421</v>
          </cell>
        </row>
        <row r="30">
          <cell r="B30">
            <v>0.59096772721100987</v>
          </cell>
        </row>
        <row r="31">
          <cell r="B31">
            <v>1.7041342145978069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258.02606335192354</v>
          </cell>
          <cell r="C38">
            <v>343.73098789917566</v>
          </cell>
          <cell r="D38">
            <v>226.77820201991076</v>
          </cell>
          <cell r="E38">
            <v>582.48075730616642</v>
          </cell>
          <cell r="F38">
            <v>129.75328813718198</v>
          </cell>
          <cell r="G38">
            <v>38.606979050010949</v>
          </cell>
          <cell r="H38">
            <v>0</v>
          </cell>
          <cell r="I38">
            <v>14.607469550824909</v>
          </cell>
          <cell r="J38">
            <v>23.478197399573517</v>
          </cell>
          <cell r="K38">
            <v>326.88521167640118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81.903394944851698</v>
          </cell>
          <cell r="F39">
            <v>39.863601107614087</v>
          </cell>
          <cell r="G39">
            <v>237.48416676903176</v>
          </cell>
          <cell r="H39">
            <v>1560.3063172563404</v>
          </cell>
          <cell r="I39">
            <v>0</v>
          </cell>
          <cell r="J39">
            <v>254.75045012159029</v>
          </cell>
          <cell r="K39">
            <v>2.0332492546523113</v>
          </cell>
        </row>
        <row r="41">
          <cell r="B41">
            <v>225.61965889461936</v>
          </cell>
          <cell r="C41">
            <v>324.25217256613684</v>
          </cell>
          <cell r="D41">
            <v>114.70683585165703</v>
          </cell>
          <cell r="E41">
            <v>469.730697973671</v>
          </cell>
          <cell r="F41">
            <v>476.59774296386297</v>
          </cell>
          <cell r="G41">
            <v>166.33377650081081</v>
          </cell>
          <cell r="H41">
            <v>90.500797745094033</v>
          </cell>
          <cell r="I41">
            <v>153.65160907486256</v>
          </cell>
          <cell r="J41">
            <v>813.31933457415221</v>
          </cell>
          <cell r="K41">
            <v>150.57857689336529</v>
          </cell>
        </row>
        <row r="42">
          <cell r="B42">
            <v>47.170435060067291</v>
          </cell>
          <cell r="C42">
            <v>0</v>
          </cell>
          <cell r="D42">
            <v>0.15337207931380265</v>
          </cell>
          <cell r="E42">
            <v>242.68575350087363</v>
          </cell>
          <cell r="F42">
            <v>383.09369823257953</v>
          </cell>
          <cell r="G42">
            <v>489.06947824742468</v>
          </cell>
          <cell r="H42">
            <v>1817.3228091313931</v>
          </cell>
          <cell r="I42">
            <v>2.8970281648162715</v>
          </cell>
          <cell r="J42">
            <v>262.18104891587262</v>
          </cell>
          <cell r="K42">
            <v>96.914112784177291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4">
        <row r="13">
          <cell r="H13">
            <v>744</v>
          </cell>
          <cell r="I13">
            <v>8.4699453551912565E-2</v>
          </cell>
        </row>
        <row r="21">
          <cell r="B21">
            <v>157.20564516129033</v>
          </cell>
          <cell r="C21">
            <v>234.92217741935488</v>
          </cell>
          <cell r="D21">
            <v>128.60262096774193</v>
          </cell>
          <cell r="E21">
            <v>482.61969086021497</v>
          </cell>
          <cell r="F21">
            <v>224.54556451612902</v>
          </cell>
          <cell r="G21">
            <v>70.038709677419362</v>
          </cell>
          <cell r="H21">
            <v>0</v>
          </cell>
          <cell r="I21">
            <v>50.880981182795693</v>
          </cell>
          <cell r="J21">
            <v>27.975336021505374</v>
          </cell>
          <cell r="K21">
            <v>143.32231182795698</v>
          </cell>
        </row>
        <row r="22">
          <cell r="B22">
            <v>5.4815860215053771</v>
          </cell>
          <cell r="C22">
            <v>0</v>
          </cell>
          <cell r="D22">
            <v>7.4193548387096783E-2</v>
          </cell>
          <cell r="E22">
            <v>140.60759408602152</v>
          </cell>
          <cell r="F22">
            <v>43.414180107526882</v>
          </cell>
          <cell r="G22">
            <v>176.38420698924733</v>
          </cell>
          <cell r="H22">
            <v>1017.3335349462365</v>
          </cell>
          <cell r="I22">
            <v>0</v>
          </cell>
          <cell r="J22">
            <v>133.67668010752689</v>
          </cell>
          <cell r="K22">
            <v>3.4649193548387105</v>
          </cell>
        </row>
        <row r="24">
          <cell r="B24">
            <v>116.961</v>
          </cell>
          <cell r="C24">
            <v>174.78210000000004</v>
          </cell>
          <cell r="D24">
            <v>95.68034999999999</v>
          </cell>
          <cell r="E24">
            <v>359.06904999999995</v>
          </cell>
          <cell r="F24">
            <v>167.06189999999998</v>
          </cell>
          <cell r="G24">
            <v>52.108800000000009</v>
          </cell>
          <cell r="H24">
            <v>0</v>
          </cell>
          <cell r="I24">
            <v>37.855449999999998</v>
          </cell>
          <cell r="J24">
            <v>20.813649999999999</v>
          </cell>
          <cell r="K24">
            <v>106.63179999999998</v>
          </cell>
        </row>
        <row r="25">
          <cell r="B25">
            <v>4.0783000000000005</v>
          </cell>
          <cell r="C25">
            <v>0</v>
          </cell>
          <cell r="D25">
            <v>5.5200000000000006E-2</v>
          </cell>
          <cell r="E25">
            <v>104.61205</v>
          </cell>
          <cell r="F25">
            <v>32.300150000000002</v>
          </cell>
          <cell r="G25">
            <v>131.22985</v>
          </cell>
          <cell r="H25">
            <v>756.89614999999992</v>
          </cell>
          <cell r="I25">
            <v>0</v>
          </cell>
          <cell r="J25">
            <v>99.455449999999999</v>
          </cell>
          <cell r="K25">
            <v>2.5779000000000005</v>
          </cell>
        </row>
        <row r="27">
          <cell r="B27">
            <v>2.2904556563668725</v>
          </cell>
          <cell r="C27">
            <v>2.0904833895904358</v>
          </cell>
          <cell r="D27">
            <v>2.4780507572446031</v>
          </cell>
          <cell r="E27">
            <v>1.6830781379899047</v>
          </cell>
          <cell r="F27">
            <v>0.54401513462440276</v>
          </cell>
          <cell r="G27">
            <v>0.729296491342321</v>
          </cell>
          <cell r="H27">
            <v>0</v>
          </cell>
          <cell r="I27">
            <v>0.30838339106051044</v>
          </cell>
          <cell r="J27">
            <v>1.1539275900311954</v>
          </cell>
          <cell r="K27">
            <v>3.2480545601829238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0.8395215158187368</v>
          </cell>
          <cell r="F28">
            <v>1.3035820301179271</v>
          </cell>
          <cell r="G28">
            <v>1.9126354191269661</v>
          </cell>
          <cell r="H28">
            <v>2.2234708579133038</v>
          </cell>
          <cell r="I28">
            <v>0</v>
          </cell>
          <cell r="J28">
            <v>2.7366586489151317</v>
          </cell>
          <cell r="K28">
            <v>0.94402527796783531</v>
          </cell>
        </row>
        <row r="30">
          <cell r="B30">
            <v>0.61719332469053279</v>
          </cell>
        </row>
        <row r="31">
          <cell r="B31">
            <v>1.7439433322614402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261.73881674740755</v>
          </cell>
          <cell r="C38">
            <v>351.36944968139227</v>
          </cell>
          <cell r="D38">
            <v>230.20534287033189</v>
          </cell>
          <cell r="E38">
            <v>592.04694067202308</v>
          </cell>
          <cell r="F38">
            <v>132.17260746902144</v>
          </cell>
          <cell r="G38">
            <v>38.365113214873851</v>
          </cell>
          <cell r="H38">
            <v>0</v>
          </cell>
          <cell r="I38">
            <v>14.928538433350489</v>
          </cell>
          <cell r="J38">
            <v>23.798247929202201</v>
          </cell>
          <cell r="K38">
            <v>331.56398560298578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85.793130060627576</v>
          </cell>
          <cell r="F39">
            <v>40.517541641077607</v>
          </cell>
          <cell r="G39">
            <v>248.13144393171342</v>
          </cell>
          <cell r="H39">
            <v>1638.8056966642851</v>
          </cell>
          <cell r="I39">
            <v>0</v>
          </cell>
          <cell r="J39">
            <v>266.85217548861118</v>
          </cell>
          <cell r="K39">
            <v>2.1106051251395401</v>
          </cell>
        </row>
        <row r="41">
          <cell r="B41">
            <v>235.63206750035161</v>
          </cell>
          <cell r="C41">
            <v>338.64163339120165</v>
          </cell>
          <cell r="D41">
            <v>119.79722432243247</v>
          </cell>
          <cell r="E41">
            <v>490.57611413026979</v>
          </cell>
          <cell r="F41">
            <v>497.74790056317408</v>
          </cell>
          <cell r="G41">
            <v>173.7152331673974</v>
          </cell>
          <cell r="H41">
            <v>94.516985743108208</v>
          </cell>
          <cell r="I41">
            <v>160.47026441953852</v>
          </cell>
          <cell r="J41">
            <v>849.41231310534567</v>
          </cell>
          <cell r="K41">
            <v>157.26085913114775</v>
          </cell>
        </row>
        <row r="42">
          <cell r="B42">
            <v>48.272351436996658</v>
          </cell>
          <cell r="C42">
            <v>0</v>
          </cell>
          <cell r="D42">
            <v>0.15695489990352962</v>
          </cell>
          <cell r="E42">
            <v>248.35496994735169</v>
          </cell>
          <cell r="F42">
            <v>392.04288895857911</v>
          </cell>
          <cell r="G42">
            <v>500.49429692571073</v>
          </cell>
          <cell r="H42">
            <v>1859.7760483902455</v>
          </cell>
          <cell r="I42">
            <v>2.9647036648444485</v>
          </cell>
          <cell r="J42">
            <v>268.30568166842261</v>
          </cell>
          <cell r="K42">
            <v>99.178057305708109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5">
        <row r="13">
          <cell r="H13">
            <v>720</v>
          </cell>
          <cell r="I13">
            <v>8.1967213114754092E-2</v>
          </cell>
        </row>
        <row r="21">
          <cell r="B21">
            <v>154.81006944444442</v>
          </cell>
          <cell r="C21">
            <v>230.36680555555552</v>
          </cell>
          <cell r="D21">
            <v>126.03368055555558</v>
          </cell>
          <cell r="E21">
            <v>466.4888194444444</v>
          </cell>
          <cell r="F21">
            <v>212.70520833333333</v>
          </cell>
          <cell r="G21">
            <v>72.333333333333329</v>
          </cell>
          <cell r="H21">
            <v>0</v>
          </cell>
          <cell r="I21">
            <v>48.899513888888904</v>
          </cell>
          <cell r="J21">
            <v>27.395972222222227</v>
          </cell>
          <cell r="K21">
            <v>142.39041666666665</v>
          </cell>
        </row>
        <row r="22">
          <cell r="B22">
            <v>5.9801388888888889</v>
          </cell>
          <cell r="C22">
            <v>0</v>
          </cell>
          <cell r="D22">
            <v>6.3333333333333339E-2</v>
          </cell>
          <cell r="E22">
            <v>136.70784722222223</v>
          </cell>
          <cell r="F22">
            <v>44.954652777777781</v>
          </cell>
          <cell r="G22">
            <v>172.49472222222224</v>
          </cell>
          <cell r="H22">
            <v>987.25611111111118</v>
          </cell>
          <cell r="I22">
            <v>0</v>
          </cell>
          <cell r="J22">
            <v>130.45416666666665</v>
          </cell>
          <cell r="K22">
            <v>3.7648611111111117</v>
          </cell>
        </row>
        <row r="24">
          <cell r="B24">
            <v>111.46324999999999</v>
          </cell>
          <cell r="C24">
            <v>165.86409999999998</v>
          </cell>
          <cell r="D24">
            <v>90.744250000000008</v>
          </cell>
          <cell r="E24">
            <v>335.87194999999997</v>
          </cell>
          <cell r="F24">
            <v>153.14775</v>
          </cell>
          <cell r="G24">
            <v>52.08</v>
          </cell>
          <cell r="H24">
            <v>0</v>
          </cell>
          <cell r="I24">
            <v>35.207650000000008</v>
          </cell>
          <cell r="J24">
            <v>19.725100000000001</v>
          </cell>
          <cell r="K24">
            <v>102.52109999999999</v>
          </cell>
        </row>
        <row r="25">
          <cell r="B25">
            <v>4.3056999999999999</v>
          </cell>
          <cell r="C25">
            <v>0</v>
          </cell>
          <cell r="D25">
            <v>4.5600000000000009E-2</v>
          </cell>
          <cell r="E25">
            <v>98.429650000000009</v>
          </cell>
          <cell r="F25">
            <v>32.367350000000002</v>
          </cell>
          <cell r="G25">
            <v>124.1962</v>
          </cell>
          <cell r="H25">
            <v>710.82439999999997</v>
          </cell>
          <cell r="I25">
            <v>0</v>
          </cell>
          <cell r="J25">
            <v>93.926999999999992</v>
          </cell>
          <cell r="K25">
            <v>2.7107000000000001</v>
          </cell>
        </row>
        <row r="27">
          <cell r="B27">
            <v>2.3586774233646315</v>
          </cell>
          <cell r="C27">
            <v>2.1594575819848849</v>
          </cell>
          <cell r="D27">
            <v>2.5638433880488072</v>
          </cell>
          <cell r="E27">
            <v>1.7433860968539383</v>
          </cell>
          <cell r="F27">
            <v>0.54251786864177076</v>
          </cell>
          <cell r="G27">
            <v>0.75285229210857096</v>
          </cell>
          <cell r="H27">
            <v>0</v>
          </cell>
          <cell r="I27">
            <v>0.31875948038992452</v>
          </cell>
          <cell r="J27">
            <v>1.1850459862635565</v>
          </cell>
          <cell r="K27">
            <v>3.3213966560027401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0.86826343365603198</v>
          </cell>
          <cell r="F28">
            <v>1.3441207984820744</v>
          </cell>
          <cell r="G28">
            <v>1.9692867584950606</v>
          </cell>
          <cell r="H28">
            <v>2.2890669071622534</v>
          </cell>
          <cell r="I28">
            <v>0</v>
          </cell>
          <cell r="J28">
            <v>2.8154713026358746</v>
          </cell>
          <cell r="K28">
            <v>0.90345047330697215</v>
          </cell>
        </row>
        <row r="30">
          <cell r="B30">
            <v>0.59643535364274425</v>
          </cell>
        </row>
        <row r="31">
          <cell r="B31">
            <v>1.6903138059656972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255.18982024059812</v>
          </cell>
          <cell r="C38">
            <v>340.34667357379249</v>
          </cell>
          <cell r="D38">
            <v>223.82455572843338</v>
          </cell>
          <cell r="E38">
            <v>570.94543174342584</v>
          </cell>
          <cell r="F38">
            <v>124.78708306097214</v>
          </cell>
          <cell r="G38">
            <v>39.755594495308756</v>
          </cell>
          <cell r="H38">
            <v>0</v>
          </cell>
          <cell r="I38">
            <v>13.971849768274767</v>
          </cell>
          <cell r="J38">
            <v>23.11407802125715</v>
          </cell>
          <cell r="K38">
            <v>324.79219082734988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83.072843966322594</v>
          </cell>
          <cell r="F39">
            <v>41.636217788612896</v>
          </cell>
          <cell r="G39">
            <v>240.83122578945969</v>
          </cell>
          <cell r="H39">
            <v>1577.3706738700764</v>
          </cell>
          <cell r="I39">
            <v>0</v>
          </cell>
          <cell r="J39">
            <v>258.44076793460971</v>
          </cell>
          <cell r="K39">
            <v>2.0886806638613127</v>
          </cell>
        </row>
        <row r="41">
          <cell r="B41">
            <v>227.7070893137269</v>
          </cell>
          <cell r="C41">
            <v>327.25214983670094</v>
          </cell>
          <cell r="D41">
            <v>115.76810214205673</v>
          </cell>
          <cell r="E41">
            <v>474.07664084293509</v>
          </cell>
          <cell r="F41">
            <v>481.00721965226398</v>
          </cell>
          <cell r="G41">
            <v>167.87269463628675</v>
          </cell>
          <cell r="H41">
            <v>91.338110056849857</v>
          </cell>
          <cell r="I41">
            <v>155.07319194711349</v>
          </cell>
          <cell r="J41">
            <v>820.84415545082675</v>
          </cell>
          <cell r="K41">
            <v>151.97172810817125</v>
          </cell>
        </row>
        <row r="42">
          <cell r="B42">
            <v>46.787886149130507</v>
          </cell>
          <cell r="C42">
            <v>0</v>
          </cell>
          <cell r="D42">
            <v>0.15212824253691276</v>
          </cell>
          <cell r="E42">
            <v>240.71758910757498</v>
          </cell>
          <cell r="F42">
            <v>379.98683528211069</v>
          </cell>
          <cell r="G42">
            <v>485.10315917409559</v>
          </cell>
          <cell r="H42">
            <v>1802.5844489579397</v>
          </cell>
          <cell r="I42">
            <v>2.8735334701416861</v>
          </cell>
          <cell r="J42">
            <v>260.05477904782259</v>
          </cell>
          <cell r="K42">
            <v>96.128146145269213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6">
        <row r="13">
          <cell r="H13">
            <v>744</v>
          </cell>
          <cell r="I13">
            <v>8.4699453551912579E-2</v>
          </cell>
        </row>
        <row r="21">
          <cell r="B21">
            <v>155.75174731182796</v>
          </cell>
          <cell r="C21">
            <v>232.4036290322581</v>
          </cell>
          <cell r="D21">
            <v>127.08985215053764</v>
          </cell>
          <cell r="E21">
            <v>472.85342741935483</v>
          </cell>
          <cell r="F21">
            <v>217.29139784946236</v>
          </cell>
          <cell r="G21">
            <v>71.458064516129042</v>
          </cell>
          <cell r="H21">
            <v>0</v>
          </cell>
          <cell r="I21">
            <v>49.762836021505372</v>
          </cell>
          <cell r="J21">
            <v>27.627486559139783</v>
          </cell>
          <cell r="K21">
            <v>142.73870967741934</v>
          </cell>
        </row>
        <row r="22">
          <cell r="B22">
            <v>5.7926075268817199</v>
          </cell>
          <cell r="C22">
            <v>0</v>
          </cell>
          <cell r="D22">
            <v>6.7741935483870974E-2</v>
          </cell>
          <cell r="E22">
            <v>138.28192204301075</v>
          </cell>
          <cell r="F22">
            <v>44.381249999999994</v>
          </cell>
          <cell r="G22">
            <v>174.08071236559141</v>
          </cell>
          <cell r="H22">
            <v>999.26176075268813</v>
          </cell>
          <cell r="I22">
            <v>0</v>
          </cell>
          <cell r="J22">
            <v>131.74092741935485</v>
          </cell>
          <cell r="K22">
            <v>3.6501344086021503</v>
          </cell>
        </row>
        <row r="24">
          <cell r="B24">
            <v>115.8793</v>
          </cell>
          <cell r="C24">
            <v>172.90830000000003</v>
          </cell>
          <cell r="D24">
            <v>94.554850000000002</v>
          </cell>
          <cell r="E24">
            <v>351.80295000000001</v>
          </cell>
          <cell r="F24">
            <v>161.66479999999999</v>
          </cell>
          <cell r="G24">
            <v>53.1648</v>
          </cell>
          <cell r="H24">
            <v>0</v>
          </cell>
          <cell r="I24">
            <v>37.023549999999993</v>
          </cell>
          <cell r="J24">
            <v>20.554849999999998</v>
          </cell>
          <cell r="K24">
            <v>106.19759999999999</v>
          </cell>
        </row>
        <row r="25">
          <cell r="B25">
            <v>4.3096999999999994</v>
          </cell>
          <cell r="C25">
            <v>0</v>
          </cell>
          <cell r="D25">
            <v>5.0400000000000007E-2</v>
          </cell>
          <cell r="E25">
            <v>102.88175</v>
          </cell>
          <cell r="F25">
            <v>33.019649999999992</v>
          </cell>
          <cell r="G25">
            <v>129.51605000000001</v>
          </cell>
          <cell r="H25">
            <v>743.45074999999997</v>
          </cell>
          <cell r="I25">
            <v>0</v>
          </cell>
          <cell r="J25">
            <v>98.015249999999995</v>
          </cell>
          <cell r="K25">
            <v>2.7157</v>
          </cell>
        </row>
        <row r="27">
          <cell r="B27">
            <v>2.3312900594242429</v>
          </cell>
          <cell r="C27">
            <v>2.1319323398046368</v>
          </cell>
          <cell r="D27">
            <v>2.5291628667833757</v>
          </cell>
          <cell r="E27">
            <v>1.7194176688080609</v>
          </cell>
          <cell r="F27">
            <v>0.54274068914335927</v>
          </cell>
          <cell r="G27">
            <v>0.74346165922603247</v>
          </cell>
          <cell r="H27">
            <v>0</v>
          </cell>
          <cell r="I27">
            <v>0.3145548679336051</v>
          </cell>
          <cell r="J27">
            <v>1.1726252223591056</v>
          </cell>
          <cell r="K27">
            <v>3.2919487438738169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0.85696309008246785</v>
          </cell>
          <cell r="F28">
            <v>1.3280191287036247</v>
          </cell>
          <cell r="G28">
            <v>1.9468243852489471</v>
          </cell>
          <cell r="H28">
            <v>2.2628994677932632</v>
          </cell>
          <cell r="I28">
            <v>0</v>
          </cell>
          <cell r="J28">
            <v>2.7841892110097177</v>
          </cell>
          <cell r="K28">
            <v>0.91924833938885919</v>
          </cell>
        </row>
        <row r="30">
          <cell r="B30">
            <v>0.6113465660226286</v>
          </cell>
        </row>
        <row r="31">
          <cell r="B31">
            <v>1.7455531119924448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262.84985803083867</v>
          </cell>
          <cell r="C38">
            <v>351.86819624809954</v>
          </cell>
          <cell r="D38">
            <v>230.84764123931922</v>
          </cell>
          <cell r="E38">
            <v>590.69982990489211</v>
          </cell>
          <cell r="F38">
            <v>130.1399326593704</v>
          </cell>
          <cell r="G38">
            <v>40.024637478787227</v>
          </cell>
          <cell r="H38">
            <v>0</v>
          </cell>
          <cell r="I38">
            <v>14.650768065504129</v>
          </cell>
          <cell r="J38">
            <v>23.849788671367257</v>
          </cell>
          <cell r="K38">
            <v>333.8942182310924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85.844236887136489</v>
          </cell>
          <cell r="F39">
            <v>42.060916476124838</v>
          </cell>
          <cell r="G39">
            <v>248.62125902225074</v>
          </cell>
          <cell r="H39">
            <v>1633.4059352775839</v>
          </cell>
          <cell r="I39">
            <v>0</v>
          </cell>
          <cell r="J39">
            <v>266.9810468700436</v>
          </cell>
          <cell r="K39">
            <v>2.1407220967383576</v>
          </cell>
        </row>
        <row r="41">
          <cell r="B41">
            <v>233.39989197611919</v>
          </cell>
          <cell r="C41">
            <v>335.4336338452959</v>
          </cell>
          <cell r="D41">
            <v>118.66236846499226</v>
          </cell>
          <cell r="E41">
            <v>485.92881800308618</v>
          </cell>
          <cell r="F41">
            <v>493.0326651002693</v>
          </cell>
          <cell r="G41">
            <v>198.96885337772468</v>
          </cell>
          <cell r="H41">
            <v>93.621613120705348</v>
          </cell>
          <cell r="I41">
            <v>158.95010716588348</v>
          </cell>
          <cell r="J41">
            <v>841.36571148864277</v>
          </cell>
          <cell r="K41">
            <v>155.77110502256579</v>
          </cell>
        </row>
        <row r="42">
          <cell r="B42">
            <v>48.31691013995087</v>
          </cell>
          <cell r="C42">
            <v>0</v>
          </cell>
          <cell r="D42">
            <v>0.15709978007932004</v>
          </cell>
          <cell r="E42">
            <v>248.58421867884408</v>
          </cell>
          <cell r="F42">
            <v>392.40477152933414</v>
          </cell>
          <cell r="G42">
            <v>500.95628761071168</v>
          </cell>
          <cell r="H42">
            <v>1861.4927496909836</v>
          </cell>
          <cell r="I42">
            <v>2.9674402903871564</v>
          </cell>
          <cell r="J42">
            <v>268.55334628003766</v>
          </cell>
          <cell r="K42">
            <v>99.269605479010352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7">
        <row r="13">
          <cell r="H13">
            <v>744</v>
          </cell>
          <cell r="I13">
            <v>8.4699453551912579E-2</v>
          </cell>
        </row>
        <row r="21">
          <cell r="B21">
            <v>97.915658602150543</v>
          </cell>
          <cell r="C21">
            <v>92.138709677419357</v>
          </cell>
          <cell r="D21">
            <v>33.252688172043008</v>
          </cell>
          <cell r="E21">
            <v>280.02291666666673</v>
          </cell>
          <cell r="F21">
            <v>428.20174731182783</v>
          </cell>
          <cell r="G21">
            <v>206.48897849462364</v>
          </cell>
          <cell r="H21">
            <v>3.4592741935483868</v>
          </cell>
          <cell r="I21">
            <v>16.368346774193547</v>
          </cell>
          <cell r="J21">
            <v>299.93084677419358</v>
          </cell>
          <cell r="K21">
            <v>93.591465053763443</v>
          </cell>
        </row>
        <row r="22">
          <cell r="B22">
            <v>26.251276881720436</v>
          </cell>
          <cell r="C22">
            <v>0</v>
          </cell>
          <cell r="D22">
            <v>6.7741935483870974E-2</v>
          </cell>
          <cell r="E22">
            <v>143.89146505376345</v>
          </cell>
          <cell r="F22">
            <v>48.907123655913978</v>
          </cell>
          <cell r="G22">
            <v>182.60087365591397</v>
          </cell>
          <cell r="H22">
            <v>983.08508064516138</v>
          </cell>
          <cell r="I22">
            <v>0</v>
          </cell>
          <cell r="J22">
            <v>145.15745967741935</v>
          </cell>
          <cell r="K22">
            <v>21.519018817204302</v>
          </cell>
        </row>
        <row r="24">
          <cell r="B24">
            <v>72.849249999999998</v>
          </cell>
          <cell r="C24">
            <v>68.551199999999994</v>
          </cell>
          <cell r="D24">
            <v>24.74</v>
          </cell>
          <cell r="E24">
            <v>208.33705000000003</v>
          </cell>
          <cell r="F24">
            <v>318.58209999999991</v>
          </cell>
          <cell r="G24">
            <v>153.62779999999998</v>
          </cell>
          <cell r="H24">
            <v>2.5736999999999997</v>
          </cell>
          <cell r="I24">
            <v>12.178049999999999</v>
          </cell>
          <cell r="J24">
            <v>223.14855000000003</v>
          </cell>
          <cell r="K24">
            <v>69.632050000000007</v>
          </cell>
        </row>
        <row r="25">
          <cell r="B25">
            <v>19.530950000000004</v>
          </cell>
          <cell r="C25">
            <v>0</v>
          </cell>
          <cell r="D25">
            <v>5.0400000000000007E-2</v>
          </cell>
          <cell r="E25">
            <v>107.05525</v>
          </cell>
          <cell r="F25">
            <v>36.386900000000004</v>
          </cell>
          <cell r="G25">
            <v>135.85504999999998</v>
          </cell>
          <cell r="H25">
            <v>731.4153</v>
          </cell>
          <cell r="I25">
            <v>0</v>
          </cell>
          <cell r="J25">
            <v>107.99715</v>
          </cell>
          <cell r="K25">
            <v>16.010149999999999</v>
          </cell>
        </row>
        <row r="27">
          <cell r="B27">
            <v>2.1747209322335044</v>
          </cell>
          <cell r="C27">
            <v>3.7594916106825456</v>
          </cell>
          <cell r="D27">
            <v>3.9537409552440543</v>
          </cell>
          <cell r="E27">
            <v>2.5297894457177659</v>
          </cell>
          <cell r="F27">
            <v>1.2920679702590074</v>
          </cell>
          <cell r="G27">
            <v>1.0292659421462635</v>
          </cell>
          <cell r="H27">
            <v>3.2186392321510882E-2</v>
          </cell>
          <cell r="I27">
            <v>0.35898387967133866</v>
          </cell>
          <cell r="J27">
            <v>0.70546621417692357</v>
          </cell>
          <cell r="K27">
            <v>4.7024135202609667</v>
          </cell>
        </row>
        <row r="28">
          <cell r="B28">
            <v>1.1380152244580891E-4</v>
          </cell>
          <cell r="C28">
            <v>0</v>
          </cell>
          <cell r="D28">
            <v>0</v>
          </cell>
          <cell r="E28">
            <v>2.0378182079989857</v>
          </cell>
          <cell r="F28">
            <v>2.6105167900068129</v>
          </cell>
          <cell r="G28">
            <v>2.2631722808676495</v>
          </cell>
          <cell r="H28">
            <v>1.8277120572805845</v>
          </cell>
          <cell r="I28">
            <v>0</v>
          </cell>
          <cell r="J28">
            <v>0.94507363605347983</v>
          </cell>
          <cell r="K28">
            <v>0.50576740890681926</v>
          </cell>
        </row>
        <row r="30">
          <cell r="B30">
            <v>0.62732961361614747</v>
          </cell>
        </row>
        <row r="31">
          <cell r="B31">
            <v>1.8398430482322383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144.35573641515197</v>
          </cell>
          <cell r="C38">
            <v>239.00110410417469</v>
          </cell>
          <cell r="D38">
            <v>97.635897414571645</v>
          </cell>
          <cell r="E38">
            <v>437.53685593319318</v>
          </cell>
          <cell r="F38">
            <v>296.00577054709993</v>
          </cell>
          <cell r="G38">
            <v>164.44546478754097</v>
          </cell>
          <cell r="H38">
            <v>0.67290159243043501</v>
          </cell>
          <cell r="I38">
            <v>6.4128373492345574</v>
          </cell>
          <cell r="J38">
            <v>106.24524931485955</v>
          </cell>
          <cell r="K38">
            <v>326.0274232511764</v>
          </cell>
        </row>
        <row r="39">
          <cell r="B39">
            <v>1.3393175227312457E-3</v>
          </cell>
          <cell r="C39">
            <v>0</v>
          </cell>
          <cell r="D39">
            <v>0</v>
          </cell>
          <cell r="E39">
            <v>208.30042558620443</v>
          </cell>
          <cell r="F39">
            <v>140.32572544223348</v>
          </cell>
          <cell r="G39">
            <v>309.26921702969702</v>
          </cell>
          <cell r="H39">
            <v>1332.7648505425061</v>
          </cell>
          <cell r="I39">
            <v>0</v>
          </cell>
          <cell r="J39">
            <v>95.58711859528303</v>
          </cell>
          <cell r="K39">
            <v>7.9205508362530894</v>
          </cell>
        </row>
        <row r="41">
          <cell r="B41">
            <v>239.50189988637285</v>
          </cell>
          <cell r="C41">
            <v>344.20321239890785</v>
          </cell>
          <cell r="D41">
            <v>121.7646780028943</v>
          </cell>
          <cell r="E41">
            <v>498.63294338279474</v>
          </cell>
          <cell r="F41">
            <v>505.92251349301443</v>
          </cell>
          <cell r="G41">
            <v>283.21422736314594</v>
          </cell>
          <cell r="H41">
            <v>96.069257029176811</v>
          </cell>
          <cell r="I41">
            <v>163.10569954019837</v>
          </cell>
          <cell r="J41">
            <v>863.362380739223</v>
          </cell>
          <cell r="K41">
            <v>159.84358554939439</v>
          </cell>
        </row>
        <row r="42">
          <cell r="B42">
            <v>50.926855575068352</v>
          </cell>
          <cell r="C42">
            <v>0</v>
          </cell>
          <cell r="D42">
            <v>0.16558587434090141</v>
          </cell>
          <cell r="E42">
            <v>262.01204849875302</v>
          </cell>
          <cell r="F42">
            <v>413.60138859786815</v>
          </cell>
          <cell r="G42">
            <v>528.01655641217008</v>
          </cell>
          <cell r="H42">
            <v>1962.0454234958238</v>
          </cell>
          <cell r="I42">
            <v>3.1277331819948051</v>
          </cell>
          <cell r="J42">
            <v>283.05985297052985</v>
          </cell>
          <cell r="K42">
            <v>104.63187415296738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8">
        <row r="13">
          <cell r="H13">
            <v>696</v>
          </cell>
          <cell r="I13">
            <v>7.9234972677595619E-2</v>
          </cell>
        </row>
        <row r="21">
          <cell r="B21">
            <v>98.113146551724142</v>
          </cell>
          <cell r="C21">
            <v>92.268247126436776</v>
          </cell>
          <cell r="D21">
            <v>33.258908045977016</v>
          </cell>
          <cell r="E21">
            <v>281.10395114942531</v>
          </cell>
          <cell r="F21">
            <v>429.61925287356331</v>
          </cell>
          <cell r="G21">
            <v>205.16429597701151</v>
          </cell>
          <cell r="H21">
            <v>3.2505028735632182</v>
          </cell>
          <cell r="I21">
            <v>16.436637931034483</v>
          </cell>
          <cell r="J21">
            <v>294.48433908045979</v>
          </cell>
          <cell r="K21">
            <v>93.606250000000003</v>
          </cell>
        </row>
        <row r="22">
          <cell r="B22">
            <v>26.162428160919539</v>
          </cell>
          <cell r="C22">
            <v>0</v>
          </cell>
          <cell r="D22">
            <v>6.5517241379310351E-2</v>
          </cell>
          <cell r="E22">
            <v>143.43484195402297</v>
          </cell>
          <cell r="F22">
            <v>48.285272988505753</v>
          </cell>
          <cell r="G22">
            <v>181.84734195402299</v>
          </cell>
          <cell r="H22">
            <v>981.494037356322</v>
          </cell>
          <cell r="I22">
            <v>0</v>
          </cell>
          <cell r="J22">
            <v>144.66760057471262</v>
          </cell>
          <cell r="K22">
            <v>21.458979885057474</v>
          </cell>
        </row>
        <row r="24">
          <cell r="B24">
            <v>68.286749999999998</v>
          </cell>
          <cell r="C24">
            <v>64.218699999999998</v>
          </cell>
          <cell r="D24">
            <v>23.148199999999999</v>
          </cell>
          <cell r="E24">
            <v>195.64834999999999</v>
          </cell>
          <cell r="F24">
            <v>299.01500000000004</v>
          </cell>
          <cell r="G24">
            <v>142.79435000000001</v>
          </cell>
          <cell r="H24">
            <v>2.2623500000000001</v>
          </cell>
          <cell r="I24">
            <v>11.4399</v>
          </cell>
          <cell r="J24">
            <v>204.96110000000002</v>
          </cell>
          <cell r="K24">
            <v>65.149950000000004</v>
          </cell>
        </row>
        <row r="25">
          <cell r="B25">
            <v>18.209049999999998</v>
          </cell>
          <cell r="C25">
            <v>0</v>
          </cell>
          <cell r="D25">
            <v>4.5600000000000009E-2</v>
          </cell>
          <cell r="E25">
            <v>99.830649999999991</v>
          </cell>
          <cell r="F25">
            <v>33.606550000000006</v>
          </cell>
          <cell r="G25">
            <v>126.56574999999999</v>
          </cell>
          <cell r="H25">
            <v>683.11985000000004</v>
          </cell>
          <cell r="I25">
            <v>0</v>
          </cell>
          <cell r="J25">
            <v>100.68865</v>
          </cell>
          <cell r="K25">
            <v>14.935450000000001</v>
          </cell>
        </row>
        <row r="27">
          <cell r="B27">
            <v>2.1794520089067912</v>
          </cell>
          <cell r="C27">
            <v>3.7464216674329474</v>
          </cell>
          <cell r="D27">
            <v>3.9548267623204794</v>
          </cell>
          <cell r="E27">
            <v>2.5242481005091402</v>
          </cell>
          <cell r="F27">
            <v>1.2899667706896516</v>
          </cell>
          <cell r="G27">
            <v>1.0308080452555088</v>
          </cell>
          <cell r="H27">
            <v>2.8671786263414867E-2</v>
          </cell>
          <cell r="I27">
            <v>0.36262199853507793</v>
          </cell>
          <cell r="J27">
            <v>0.72003420611948954</v>
          </cell>
          <cell r="K27">
            <v>4.7055460805239768</v>
          </cell>
        </row>
        <row r="28">
          <cell r="B28">
            <v>1.1224605471335357E-4</v>
          </cell>
          <cell r="C28">
            <v>0</v>
          </cell>
          <cell r="D28">
            <v>0</v>
          </cell>
          <cell r="E28">
            <v>2.0333293786801319</v>
          </cell>
          <cell r="F28">
            <v>2.6028945756987585</v>
          </cell>
          <cell r="G28">
            <v>2.2598559387288804</v>
          </cell>
          <cell r="H28">
            <v>1.830559139209341</v>
          </cell>
          <cell r="I28">
            <v>0</v>
          </cell>
          <cell r="J28">
            <v>0.97606695852236913</v>
          </cell>
          <cell r="K28">
            <v>0.50525273700215667</v>
          </cell>
        </row>
        <row r="30">
          <cell r="B30">
            <v>0.58673181415383446</v>
          </cell>
        </row>
        <row r="31">
          <cell r="B31">
            <v>1.7216935346260438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135.75214272255946</v>
          </cell>
          <cell r="C38">
            <v>223.37729947665773</v>
          </cell>
          <cell r="D38">
            <v>91.38258237043344</v>
          </cell>
          <cell r="E38">
            <v>411.09706350748206</v>
          </cell>
          <cell r="F38">
            <v>277.93857339755732</v>
          </cell>
          <cell r="G38">
            <v>152.43114409548298</v>
          </cell>
          <cell r="H38">
            <v>0.56075132702536257</v>
          </cell>
          <cell r="I38">
            <v>6.0484428959866063</v>
          </cell>
          <cell r="J38">
            <v>97.800609686292944</v>
          </cell>
          <cell r="K38">
            <v>305.29070175998424</v>
          </cell>
        </row>
        <row r="39">
          <cell r="B39">
            <v>1.2295124762995956E-3</v>
          </cell>
          <cell r="C39">
            <v>0</v>
          </cell>
          <cell r="D39">
            <v>0</v>
          </cell>
          <cell r="E39">
            <v>193.83687042619911</v>
          </cell>
          <cell r="F39">
            <v>129.65043734012309</v>
          </cell>
          <cell r="G39">
            <v>287.76411677426131</v>
          </cell>
          <cell r="H39">
            <v>1247.1810410775036</v>
          </cell>
          <cell r="I39">
            <v>0</v>
          </cell>
          <cell r="J39">
            <v>92.165691174041058</v>
          </cell>
          <cell r="K39">
            <v>7.3836277611683174</v>
          </cell>
        </row>
        <row r="41">
          <cell r="B41">
            <v>224.00247200765097</v>
          </cell>
          <cell r="C41">
            <v>321.9280117899259</v>
          </cell>
          <cell r="D41">
            <v>113.88464512725932</v>
          </cell>
          <cell r="E41">
            <v>466.36378248017513</v>
          </cell>
          <cell r="F41">
            <v>473.18160616064284</v>
          </cell>
          <cell r="G41">
            <v>264.88594481789011</v>
          </cell>
          <cell r="H41">
            <v>89.852110019518207</v>
          </cell>
          <cell r="I41">
            <v>152.55027167999697</v>
          </cell>
          <cell r="J41">
            <v>807.48965922921457</v>
          </cell>
          <cell r="K41">
            <v>149.49926624639701</v>
          </cell>
        </row>
        <row r="42">
          <cell r="B42">
            <v>47.656477038448877</v>
          </cell>
          <cell r="C42">
            <v>0</v>
          </cell>
          <cell r="D42">
            <v>0.15495241811634392</v>
          </cell>
          <cell r="E42">
            <v>245.18637626609487</v>
          </cell>
          <cell r="F42">
            <v>387.0410779579812</v>
          </cell>
          <cell r="G42">
            <v>494.10882750232844</v>
          </cell>
          <cell r="H42">
            <v>1836.0484191959056</v>
          </cell>
          <cell r="I42">
            <v>2.9268790088642747</v>
          </cell>
          <cell r="J42">
            <v>264.88255030221683</v>
          </cell>
          <cell r="K42">
            <v>97.912711314183113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9">
        <row r="13">
          <cell r="H13">
            <v>744</v>
          </cell>
          <cell r="I13">
            <v>8.4699453551912565E-2</v>
          </cell>
        </row>
        <row r="21">
          <cell r="B21">
            <v>100.13165322580647</v>
          </cell>
          <cell r="C21">
            <v>93.357123655913981</v>
          </cell>
          <cell r="D21">
            <v>33.327956989247312</v>
          </cell>
          <cell r="E21">
            <v>287.7313844086022</v>
          </cell>
          <cell r="F21">
            <v>439.45981182795714</v>
          </cell>
          <cell r="G21">
            <v>205.34206989247312</v>
          </cell>
          <cell r="H21">
            <v>3.2545698924731177</v>
          </cell>
          <cell r="I21">
            <v>17.043346774193548</v>
          </cell>
          <cell r="J21">
            <v>302.59912634408607</v>
          </cell>
          <cell r="K21">
            <v>93.522379032258058</v>
          </cell>
        </row>
        <row r="22">
          <cell r="B22">
            <v>26.818212365591393</v>
          </cell>
          <cell r="C22">
            <v>0</v>
          </cell>
          <cell r="D22">
            <v>7.4193548387096783E-2</v>
          </cell>
          <cell r="E22">
            <v>146.10208333333333</v>
          </cell>
          <cell r="F22">
            <v>47.754301075268813</v>
          </cell>
          <cell r="G22">
            <v>184.94966397849464</v>
          </cell>
          <cell r="H22">
            <v>1001.0573924731182</v>
          </cell>
          <cell r="I22">
            <v>0</v>
          </cell>
          <cell r="J22">
            <v>147.16619623655913</v>
          </cell>
          <cell r="K22">
            <v>21.967809139784944</v>
          </cell>
        </row>
        <row r="24">
          <cell r="B24">
            <v>74.497950000000017</v>
          </cell>
          <cell r="C24">
            <v>69.457700000000003</v>
          </cell>
          <cell r="D24">
            <v>24.795999999999999</v>
          </cell>
          <cell r="E24">
            <v>214.07215000000002</v>
          </cell>
          <cell r="F24">
            <v>326.95810000000012</v>
          </cell>
          <cell r="G24">
            <v>152.77449999999999</v>
          </cell>
          <cell r="H24">
            <v>2.4213999999999998</v>
          </cell>
          <cell r="I24">
            <v>12.680249999999999</v>
          </cell>
          <cell r="J24">
            <v>225.13375000000002</v>
          </cell>
          <cell r="K24">
            <v>69.580649999999991</v>
          </cell>
        </row>
        <row r="25">
          <cell r="B25">
            <v>19.952749999999995</v>
          </cell>
          <cell r="C25">
            <v>0</v>
          </cell>
          <cell r="D25">
            <v>5.5200000000000006E-2</v>
          </cell>
          <cell r="E25">
            <v>108.69995</v>
          </cell>
          <cell r="F25">
            <v>35.529199999999996</v>
          </cell>
          <cell r="G25">
            <v>137.60255000000001</v>
          </cell>
          <cell r="H25">
            <v>744.7867</v>
          </cell>
          <cell r="I25">
            <v>0</v>
          </cell>
          <cell r="J25">
            <v>109.49164999999999</v>
          </cell>
          <cell r="K25">
            <v>16.344049999999999</v>
          </cell>
        </row>
        <row r="27">
          <cell r="B27">
            <v>2.1603856823548493</v>
          </cell>
          <cell r="C27">
            <v>3.7407717745923166</v>
          </cell>
          <cell r="D27">
            <v>4.0032658669653989</v>
          </cell>
          <cell r="E27">
            <v>2.5073733245284373</v>
          </cell>
          <cell r="F27">
            <v>1.2903040849746952</v>
          </cell>
          <cell r="G27">
            <v>1.017554129916967</v>
          </cell>
          <cell r="H27">
            <v>2.1457594881007253E-2</v>
          </cell>
          <cell r="I27">
            <v>0.36611298121034674</v>
          </cell>
          <cell r="J27">
            <v>0.69747896470463788</v>
          </cell>
          <cell r="K27">
            <v>4.7200835890547292</v>
          </cell>
        </row>
        <row r="28">
          <cell r="B28">
            <v>1.0849550473912446E-4</v>
          </cell>
          <cell r="C28">
            <v>0</v>
          </cell>
          <cell r="D28">
            <v>0</v>
          </cell>
          <cell r="E28">
            <v>1.9835951817493294</v>
          </cell>
          <cell r="F28">
            <v>2.543893315993599</v>
          </cell>
          <cell r="G28">
            <v>2.2027203971890086</v>
          </cell>
          <cell r="H28">
            <v>1.7757145838029704</v>
          </cell>
          <cell r="I28">
            <v>0</v>
          </cell>
          <cell r="J28">
            <v>0.88038384844631834</v>
          </cell>
          <cell r="K28">
            <v>0.4990265078887825</v>
          </cell>
        </row>
        <row r="30">
          <cell r="B30">
            <v>0.62194788901172016</v>
          </cell>
        </row>
        <row r="31">
          <cell r="B31">
            <v>1.8538255801284487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147.63357944428674</v>
          </cell>
          <cell r="C38">
            <v>241.77258907093048</v>
          </cell>
          <cell r="D38">
            <v>99.125877298473654</v>
          </cell>
          <cell r="E38">
            <v>449.85474786825642</v>
          </cell>
          <cell r="F38">
            <v>303.01374164533394</v>
          </cell>
          <cell r="G38">
            <v>161.50419793459926</v>
          </cell>
          <cell r="H38">
            <v>0.44860106162029006</v>
          </cell>
          <cell r="I38">
            <v>6.707477653484947</v>
          </cell>
          <cell r="J38">
            <v>109.21706950342534</v>
          </cell>
          <cell r="K38">
            <v>327.16219570277809</v>
          </cell>
        </row>
        <row r="39">
          <cell r="B39">
            <v>1.2860960485807978E-3</v>
          </cell>
          <cell r="C39">
            <v>0</v>
          </cell>
          <cell r="D39">
            <v>0</v>
          </cell>
          <cell r="E39">
            <v>205.49458343293074</v>
          </cell>
          <cell r="F39">
            <v>136.45029305632849</v>
          </cell>
          <cell r="G39">
            <v>305.2954091038747</v>
          </cell>
          <cell r="H39">
            <v>1320.4809865309971</v>
          </cell>
          <cell r="I39">
            <v>0</v>
          </cell>
          <cell r="J39">
            <v>91.056610115846411</v>
          </cell>
          <cell r="K39">
            <v>7.972935144664131</v>
          </cell>
        </row>
        <row r="41">
          <cell r="B41">
            <v>237.44726506689454</v>
          </cell>
          <cell r="C41">
            <v>341.25036774295063</v>
          </cell>
          <cell r="D41">
            <v>120.72008525717493</v>
          </cell>
          <cell r="E41">
            <v>494.3552795809656</v>
          </cell>
          <cell r="F41">
            <v>501.58231405128191</v>
          </cell>
          <cell r="G41">
            <v>280.78459397323115</v>
          </cell>
          <cell r="H41">
            <v>95.24509972325481</v>
          </cell>
          <cell r="I41">
            <v>161.70645114304722</v>
          </cell>
          <cell r="J41">
            <v>855.95578225237978</v>
          </cell>
          <cell r="K41">
            <v>158.47232212018633</v>
          </cell>
        </row>
        <row r="42">
          <cell r="B42">
            <v>51.313892057955471</v>
          </cell>
          <cell r="C42">
            <v>0</v>
          </cell>
          <cell r="D42">
            <v>0.16684430221156035</v>
          </cell>
          <cell r="E42">
            <v>264.00330086609245</v>
          </cell>
          <cell r="F42">
            <v>416.7446972697374</v>
          </cell>
          <cell r="G42">
            <v>532.02940324106351</v>
          </cell>
          <cell r="H42">
            <v>1976.9566751605805</v>
          </cell>
          <cell r="I42">
            <v>3.1515034862183633</v>
          </cell>
          <cell r="J42">
            <v>285.21106550276187</v>
          </cell>
          <cell r="K42">
            <v>105.4270607419049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10">
        <row r="13">
          <cell r="H13">
            <v>720</v>
          </cell>
          <cell r="I13">
            <v>8.1967213114754106E-2</v>
          </cell>
        </row>
        <row r="21">
          <cell r="B21">
            <v>98.786597222222213</v>
          </cell>
          <cell r="C21">
            <v>92.619652777777773</v>
          </cell>
          <cell r="D21">
            <v>33.282222222222224</v>
          </cell>
          <cell r="E21">
            <v>283.09159722222222</v>
          </cell>
          <cell r="F21">
            <v>432.66749999999996</v>
          </cell>
          <cell r="G21">
            <v>205.9170138888889</v>
          </cell>
          <cell r="H21">
            <v>3.3599305555555552</v>
          </cell>
          <cell r="I21">
            <v>16.634444444444444</v>
          </cell>
          <cell r="J21">
            <v>300.41597222222219</v>
          </cell>
          <cell r="K21">
            <v>93.566388888888895</v>
          </cell>
        </row>
        <row r="22">
          <cell r="B22">
            <v>26.46027777777778</v>
          </cell>
          <cell r="C22">
            <v>0</v>
          </cell>
          <cell r="D22">
            <v>7.0000000000000007E-2</v>
          </cell>
          <cell r="E22">
            <v>144.69548611111111</v>
          </cell>
          <cell r="F22">
            <v>48.402569444444453</v>
          </cell>
          <cell r="G22">
            <v>183.42854166666666</v>
          </cell>
          <cell r="H22">
            <v>989.83208333333334</v>
          </cell>
          <cell r="I22">
            <v>0</v>
          </cell>
          <cell r="J22">
            <v>145.88062500000001</v>
          </cell>
          <cell r="K22">
            <v>21.685486111111111</v>
          </cell>
        </row>
        <row r="24">
          <cell r="B24">
            <v>71.126349999999988</v>
          </cell>
          <cell r="C24">
            <v>66.686149999999998</v>
          </cell>
          <cell r="D24">
            <v>23.963200000000001</v>
          </cell>
          <cell r="E24">
            <v>203.82595000000001</v>
          </cell>
          <cell r="F24">
            <v>311.5206</v>
          </cell>
          <cell r="G24">
            <v>148.26025000000001</v>
          </cell>
          <cell r="H24">
            <v>2.4191499999999997</v>
          </cell>
          <cell r="I24">
            <v>11.976799999999999</v>
          </cell>
          <cell r="J24">
            <v>216.29949999999999</v>
          </cell>
          <cell r="K24">
            <v>67.367800000000003</v>
          </cell>
        </row>
        <row r="25">
          <cell r="B25">
            <v>19.051400000000001</v>
          </cell>
          <cell r="C25">
            <v>0</v>
          </cell>
          <cell r="D25">
            <v>5.0400000000000007E-2</v>
          </cell>
          <cell r="E25">
            <v>104.18075</v>
          </cell>
          <cell r="F25">
            <v>34.849850000000004</v>
          </cell>
          <cell r="G25">
            <v>132.06854999999999</v>
          </cell>
          <cell r="H25">
            <v>712.67909999999995</v>
          </cell>
          <cell r="I25">
            <v>0</v>
          </cell>
          <cell r="J25">
            <v>105.03405000000001</v>
          </cell>
          <cell r="K25">
            <v>15.61355</v>
          </cell>
        </row>
        <row r="27">
          <cell r="B27">
            <v>2.1580850591492515</v>
          </cell>
          <cell r="C27">
            <v>3.7324563679267126</v>
          </cell>
          <cell r="D27">
            <v>3.948235881516533</v>
          </cell>
          <cell r="E27">
            <v>2.5085785190452423</v>
          </cell>
          <cell r="F27">
            <v>1.2865456765708676</v>
          </cell>
          <cell r="G27">
            <v>1.0208227596054014</v>
          </cell>
          <cell r="H27">
            <v>2.7716060054634371E-2</v>
          </cell>
          <cell r="I27">
            <v>0.35882742640451704</v>
          </cell>
          <cell r="J27">
            <v>0.69914844335538695</v>
          </cell>
          <cell r="K27">
            <v>4.6820780237972155</v>
          </cell>
        </row>
        <row r="28">
          <cell r="B28">
            <v>1.1160879662006576E-4</v>
          </cell>
          <cell r="C28">
            <v>0</v>
          </cell>
          <cell r="D28">
            <v>0</v>
          </cell>
          <cell r="E28">
            <v>2.0254084211470507</v>
          </cell>
          <cell r="F28">
            <v>2.5928473652230526</v>
          </cell>
          <cell r="G28">
            <v>2.248336692930538</v>
          </cell>
          <cell r="H28">
            <v>1.8184940999538883</v>
          </cell>
          <cell r="I28">
            <v>0</v>
          </cell>
          <cell r="J28">
            <v>0.92828287504216012</v>
          </cell>
          <cell r="K28">
            <v>0.50552824883518488</v>
          </cell>
        </row>
        <row r="30">
          <cell r="B30">
            <v>0.60724576480922821</v>
          </cell>
        </row>
        <row r="31">
          <cell r="B31">
            <v>1.7799795880879146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139.94178701042082</v>
          </cell>
          <cell r="C38">
            <v>230.85726542128234</v>
          </cell>
          <cell r="D38">
            <v>94.438288469459607</v>
          </cell>
          <cell r="E38">
            <v>424.89003578671702</v>
          </cell>
          <cell r="F38">
            <v>287.27229714395025</v>
          </cell>
          <cell r="G38">
            <v>157.37959106619371</v>
          </cell>
          <cell r="H38">
            <v>0.56075132702536257</v>
          </cell>
          <cell r="I38">
            <v>6.2600928086106427</v>
          </cell>
          <cell r="J38">
            <v>103.18024778041367</v>
          </cell>
          <cell r="K38">
            <v>314.10602430794205</v>
          </cell>
        </row>
        <row r="39">
          <cell r="B39">
            <v>1.2739265205866472E-3</v>
          </cell>
          <cell r="C39">
            <v>0</v>
          </cell>
          <cell r="D39">
            <v>0</v>
          </cell>
          <cell r="E39">
            <v>201.42550997195607</v>
          </cell>
          <cell r="F39">
            <v>134.30438430305875</v>
          </cell>
          <cell r="G39">
            <v>298.7583914802895</v>
          </cell>
          <cell r="H39">
            <v>1293.7755101945311</v>
          </cell>
          <cell r="I39">
            <v>0</v>
          </cell>
          <cell r="J39">
            <v>91.635739170575576</v>
          </cell>
          <cell r="K39">
            <v>7.7218110618299516</v>
          </cell>
        </row>
        <row r="41">
          <cell r="B41">
            <v>231.8342880888672</v>
          </cell>
          <cell r="C41">
            <v>333.18360623552735</v>
          </cell>
          <cell r="D41">
            <v>117.86640294947125</v>
          </cell>
          <cell r="E41">
            <v>482.66929615861488</v>
          </cell>
          <cell r="F41">
            <v>489.72549194569825</v>
          </cell>
          <cell r="G41">
            <v>274.14717298077414</v>
          </cell>
          <cell r="H41">
            <v>92.993616422885196</v>
          </cell>
          <cell r="I41">
            <v>157.88389885039936</v>
          </cell>
          <cell r="J41">
            <v>835.72198381870032</v>
          </cell>
          <cell r="K41">
            <v>154.72622087339136</v>
          </cell>
        </row>
        <row r="42">
          <cell r="B42">
            <v>49.269834998273474</v>
          </cell>
          <cell r="C42">
            <v>0</v>
          </cell>
          <cell r="D42">
            <v>0.16019816292791228</v>
          </cell>
          <cell r="E42">
            <v>253.48689313959989</v>
          </cell>
          <cell r="F42">
            <v>400.1439307643019</v>
          </cell>
          <cell r="G42">
            <v>510.83634198535066</v>
          </cell>
          <cell r="H42">
            <v>1898.205832328714</v>
          </cell>
          <cell r="I42">
            <v>3.0259652997494553</v>
          </cell>
          <cell r="J42">
            <v>273.8498596273256</v>
          </cell>
          <cell r="K42">
            <v>101.22743917455971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11">
        <row r="13">
          <cell r="H13">
            <v>744</v>
          </cell>
          <cell r="I13">
            <v>8.4699453551912565E-2</v>
          </cell>
        </row>
        <row r="21">
          <cell r="B21">
            <v>156.47869623655913</v>
          </cell>
          <cell r="C21">
            <v>233.66290322580647</v>
          </cell>
          <cell r="D21">
            <v>127.84623655913977</v>
          </cell>
          <cell r="E21">
            <v>477.73655913978496</v>
          </cell>
          <cell r="F21">
            <v>220.91848118279572</v>
          </cell>
          <cell r="G21">
            <v>70.748387096774195</v>
          </cell>
          <cell r="H21">
            <v>0</v>
          </cell>
          <cell r="I21">
            <v>50.321908602150536</v>
          </cell>
          <cell r="J21">
            <v>27.80141129032258</v>
          </cell>
          <cell r="K21">
            <v>143.03051075268814</v>
          </cell>
        </row>
        <row r="22">
          <cell r="B22">
            <v>5.637096774193548</v>
          </cell>
          <cell r="C22">
            <v>0</v>
          </cell>
          <cell r="D22">
            <v>7.0967741935483886E-2</v>
          </cell>
          <cell r="E22">
            <v>139.44475806451615</v>
          </cell>
          <cell r="F22">
            <v>43.897715053763434</v>
          </cell>
          <cell r="G22">
            <v>175.23245967741934</v>
          </cell>
          <cell r="H22">
            <v>1008.2976478494625</v>
          </cell>
          <cell r="I22">
            <v>0</v>
          </cell>
          <cell r="J22">
            <v>132.70880376344084</v>
          </cell>
          <cell r="K22">
            <v>3.5575268817204302</v>
          </cell>
        </row>
        <row r="24">
          <cell r="B24">
            <v>116.42014999999999</v>
          </cell>
          <cell r="C24">
            <v>173.84520000000001</v>
          </cell>
          <cell r="D24">
            <v>95.117599999999996</v>
          </cell>
          <cell r="E24">
            <v>355.43599999999998</v>
          </cell>
          <cell r="F24">
            <v>164.36335</v>
          </cell>
          <cell r="G24">
            <v>52.636800000000001</v>
          </cell>
          <cell r="H24">
            <v>0</v>
          </cell>
          <cell r="I24">
            <v>37.439500000000002</v>
          </cell>
          <cell r="J24">
            <v>20.684249999999999</v>
          </cell>
          <cell r="K24">
            <v>106.41469999999998</v>
          </cell>
        </row>
        <row r="25">
          <cell r="B25">
            <v>4.194</v>
          </cell>
          <cell r="C25">
            <v>0</v>
          </cell>
          <cell r="D25">
            <v>5.2800000000000014E-2</v>
          </cell>
          <cell r="E25">
            <v>103.74690000000001</v>
          </cell>
          <cell r="F25">
            <v>32.6599</v>
          </cell>
          <cell r="G25">
            <v>130.37295</v>
          </cell>
          <cell r="H25">
            <v>750.17345000000012</v>
          </cell>
          <cell r="I25">
            <v>0</v>
          </cell>
          <cell r="J25">
            <v>98.735349999999997</v>
          </cell>
          <cell r="K25">
            <v>2.6468000000000003</v>
          </cell>
        </row>
        <row r="27">
          <cell r="B27">
            <v>2.3108728578955575</v>
          </cell>
          <cell r="C27">
            <v>2.1112078646975361</v>
          </cell>
          <cell r="D27">
            <v>2.5036068120139894</v>
          </cell>
          <cell r="E27">
            <v>1.7012479033989829</v>
          </cell>
          <cell r="F27">
            <v>0.54337791188388107</v>
          </cell>
          <cell r="G27">
            <v>0.73637907528417657</v>
          </cell>
          <cell r="H27">
            <v>0</v>
          </cell>
          <cell r="I27">
            <v>0.31146912949705774</v>
          </cell>
          <cell r="J27">
            <v>1.1632764061951502</v>
          </cell>
          <cell r="K27">
            <v>3.2700016520283706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0.84824230295060243</v>
          </cell>
          <cell r="F28">
            <v>1.3158005794107759</v>
          </cell>
          <cell r="G28">
            <v>1.9297299021879561</v>
          </cell>
          <cell r="H28">
            <v>2.2431851628532833</v>
          </cell>
          <cell r="I28">
            <v>0</v>
          </cell>
          <cell r="J28">
            <v>2.7604239299624247</v>
          </cell>
          <cell r="K28">
            <v>0.93163680867834719</v>
          </cell>
        </row>
        <row r="30">
          <cell r="B30">
            <v>0.59684664868719062</v>
          </cell>
        </row>
        <row r="31">
          <cell r="B31">
            <v>1.7447482221269426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262.29433738912309</v>
          </cell>
          <cell r="C38">
            <v>351.6188229647459</v>
          </cell>
          <cell r="D38">
            <v>230.52649205482558</v>
          </cell>
          <cell r="E38">
            <v>591.3733852884576</v>
          </cell>
          <cell r="F38">
            <v>131.15627006419592</v>
          </cell>
          <cell r="G38">
            <v>39.194875346830536</v>
          </cell>
          <cell r="H38">
            <v>0</v>
          </cell>
          <cell r="I38">
            <v>14.78965324942731</v>
          </cell>
          <cell r="J38">
            <v>23.824018300284727</v>
          </cell>
          <cell r="K38">
            <v>332.72910191703909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85.818683473882047</v>
          </cell>
          <cell r="F39">
            <v>41.289229058601222</v>
          </cell>
          <cell r="G39">
            <v>248.37635147698211</v>
          </cell>
          <cell r="H39">
            <v>1636.1058159709346</v>
          </cell>
          <cell r="I39">
            <v>0</v>
          </cell>
          <cell r="J39">
            <v>266.91661117932739</v>
          </cell>
          <cell r="K39">
            <v>2.1256636109389486</v>
          </cell>
        </row>
        <row r="41">
          <cell r="B41">
            <v>227.86411353579564</v>
          </cell>
          <cell r="C41">
            <v>327.47781920168779</v>
          </cell>
          <cell r="D41">
            <v>115.84793451018372</v>
          </cell>
          <cell r="E41">
            <v>474.40355870901317</v>
          </cell>
          <cell r="F41">
            <v>481.33891676675859</v>
          </cell>
          <cell r="G41">
            <v>269.45238801631905</v>
          </cell>
          <cell r="H41">
            <v>91.401095779956364</v>
          </cell>
          <cell r="I41">
            <v>155.18012865866953</v>
          </cell>
          <cell r="J41">
            <v>821.41020025574596</v>
          </cell>
          <cell r="K41">
            <v>152.07652608549617</v>
          </cell>
        </row>
        <row r="42">
          <cell r="B42">
            <v>48.294630788473768</v>
          </cell>
          <cell r="C42">
            <v>0</v>
          </cell>
          <cell r="D42">
            <v>0.15702733999142482</v>
          </cell>
          <cell r="E42">
            <v>248.4695943130979</v>
          </cell>
          <cell r="F42">
            <v>392.22383024395668</v>
          </cell>
          <cell r="G42">
            <v>500.72529226821132</v>
          </cell>
          <cell r="H42">
            <v>1860.6343990406147</v>
          </cell>
          <cell r="I42">
            <v>2.9660719776158024</v>
          </cell>
          <cell r="J42">
            <v>268.42951397423013</v>
          </cell>
          <cell r="K42">
            <v>99.223831392359244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12">
        <row r="13">
          <cell r="H13">
            <v>720</v>
          </cell>
          <cell r="I13">
            <v>8.1967213114754092E-2</v>
          </cell>
        </row>
        <row r="21">
          <cell r="B21">
            <v>157.0636111111111</v>
          </cell>
          <cell r="C21">
            <v>234.27055555555557</v>
          </cell>
          <cell r="D21">
            <v>128.37847222222223</v>
          </cell>
          <cell r="E21">
            <v>481.62652777777777</v>
          </cell>
          <cell r="F21">
            <v>223.94916666666666</v>
          </cell>
          <cell r="G21">
            <v>70.13333333333334</v>
          </cell>
          <cell r="H21">
            <v>0</v>
          </cell>
          <cell r="I21">
            <v>50.632638888888891</v>
          </cell>
          <cell r="J21">
            <v>27.935138888888886</v>
          </cell>
          <cell r="K21">
            <v>143.29499999999999</v>
          </cell>
        </row>
        <row r="22">
          <cell r="B22">
            <v>5.4980555555555561</v>
          </cell>
          <cell r="C22">
            <v>0</v>
          </cell>
          <cell r="D22">
            <v>7.3333333333333348E-2</v>
          </cell>
          <cell r="E22">
            <v>140.3126388888889</v>
          </cell>
          <cell r="F22">
            <v>43.45569444444444</v>
          </cell>
          <cell r="G22">
            <v>176.06513888888887</v>
          </cell>
          <cell r="H22">
            <v>1015.2673611111111</v>
          </cell>
          <cell r="I22">
            <v>0</v>
          </cell>
          <cell r="J22">
            <v>133.45458333333332</v>
          </cell>
          <cell r="K22">
            <v>3.4777777777777783</v>
          </cell>
        </row>
        <row r="24">
          <cell r="B24">
            <v>113.08579999999999</v>
          </cell>
          <cell r="C24">
            <v>168.6748</v>
          </cell>
          <cell r="D24">
            <v>92.432500000000005</v>
          </cell>
          <cell r="E24">
            <v>346.77109999999999</v>
          </cell>
          <cell r="F24">
            <v>161.24340000000001</v>
          </cell>
          <cell r="G24">
            <v>50.496000000000002</v>
          </cell>
          <cell r="H24">
            <v>0</v>
          </cell>
          <cell r="I24">
            <v>36.455500000000001</v>
          </cell>
          <cell r="J24">
            <v>20.113299999999999</v>
          </cell>
          <cell r="K24">
            <v>103.1724</v>
          </cell>
        </row>
        <row r="25">
          <cell r="B25">
            <v>3.9586000000000006</v>
          </cell>
          <cell r="C25">
            <v>0</v>
          </cell>
          <cell r="D25">
            <v>5.2800000000000014E-2</v>
          </cell>
          <cell r="E25">
            <v>101.02510000000001</v>
          </cell>
          <cell r="F25">
            <v>31.2881</v>
          </cell>
          <cell r="G25">
            <v>126.76689999999999</v>
          </cell>
          <cell r="H25">
            <v>730.99249999999995</v>
          </cell>
          <cell r="I25">
            <v>0</v>
          </cell>
          <cell r="J25">
            <v>96.087299999999985</v>
          </cell>
          <cell r="K25">
            <v>2.5040000000000004</v>
          </cell>
        </row>
        <row r="27">
          <cell r="B27">
            <v>2.295384098625707</v>
          </cell>
          <cell r="C27">
            <v>2.0952117091528741</v>
          </cell>
          <cell r="D27">
            <v>2.4846196182637099</v>
          </cell>
          <cell r="E27">
            <v>1.6870598240857959</v>
          </cell>
          <cell r="F27">
            <v>0.54449325913738833</v>
          </cell>
          <cell r="G27">
            <v>0.73089628188881828</v>
          </cell>
          <cell r="H27">
            <v>0</v>
          </cell>
          <cell r="I27">
            <v>0.30919369123662782</v>
          </cell>
          <cell r="J27">
            <v>1.1560646561552956</v>
          </cell>
          <cell r="K27">
            <v>3.2533606712818579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0.84122899354724867</v>
          </cell>
          <cell r="F28">
            <v>1.3062432956742429</v>
          </cell>
          <cell r="G28">
            <v>1.916293861005991</v>
          </cell>
          <cell r="H28">
            <v>2.227952561848316</v>
          </cell>
          <cell r="I28">
            <v>0</v>
          </cell>
          <cell r="J28">
            <v>2.7417989313892654</v>
          </cell>
          <cell r="K28">
            <v>0.94185472810438509</v>
          </cell>
        </row>
        <row r="30">
          <cell r="B30">
            <v>0.57777410526224227</v>
          </cell>
        </row>
        <row r="31">
          <cell r="B31">
            <v>1.6878991363691906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253.52325831545147</v>
          </cell>
          <cell r="C38">
            <v>339.59855372373164</v>
          </cell>
          <cell r="D38">
            <v>222.86110817495245</v>
          </cell>
          <cell r="E38">
            <v>572.96609789412241</v>
          </cell>
          <cell r="F38">
            <v>127.83609527544871</v>
          </cell>
          <cell r="G38">
            <v>37.266308099438682</v>
          </cell>
          <cell r="H38">
            <v>0</v>
          </cell>
          <cell r="I38">
            <v>14.388505320044306</v>
          </cell>
          <cell r="J38">
            <v>23.036766908009572</v>
          </cell>
          <cell r="K38">
            <v>321.29684188519002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82.99618372655921</v>
          </cell>
          <cell r="F39">
            <v>39.321155536042056</v>
          </cell>
          <cell r="G39">
            <v>240.09650315365377</v>
          </cell>
          <cell r="H39">
            <v>1585.4703159501282</v>
          </cell>
          <cell r="I39">
            <v>0</v>
          </cell>
          <cell r="J39">
            <v>258.24746086246114</v>
          </cell>
          <cell r="K39">
            <v>2.0435052064630868</v>
          </cell>
        </row>
        <row r="41">
          <cell r="B41">
            <v>220.58259790701885</v>
          </cell>
          <cell r="C41">
            <v>317.01309607528714</v>
          </cell>
          <cell r="D41">
            <v>112.14595383140124</v>
          </cell>
          <cell r="E41">
            <v>459.24374756769294</v>
          </cell>
          <cell r="F41">
            <v>465.95748267084042</v>
          </cell>
          <cell r="G41">
            <v>260.84189756169184</v>
          </cell>
          <cell r="H41">
            <v>88.480326479859755</v>
          </cell>
          <cell r="I41">
            <v>150.22126736818294</v>
          </cell>
          <cell r="J41">
            <v>795.16161236716073</v>
          </cell>
          <cell r="K41">
            <v>147.21684202081931</v>
          </cell>
        </row>
        <row r="42">
          <cell r="B42">
            <v>46.721048094699192</v>
          </cell>
          <cell r="C42">
            <v>0</v>
          </cell>
          <cell r="D42">
            <v>0.15191092227322717</v>
          </cell>
          <cell r="E42">
            <v>240.37371601033644</v>
          </cell>
          <cell r="F42">
            <v>379.44401142597803</v>
          </cell>
          <cell r="G42">
            <v>484.41017314659405</v>
          </cell>
          <cell r="H42">
            <v>1800.0093970068328</v>
          </cell>
          <cell r="I42">
            <v>2.8694285318276234</v>
          </cell>
          <cell r="J42">
            <v>259.68328213039996</v>
          </cell>
          <cell r="K42">
            <v>95.990823885315876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"/>
      <sheetName val="M01"/>
      <sheetName val="M02"/>
      <sheetName val="M03"/>
      <sheetName val="M04"/>
      <sheetName val="M05"/>
      <sheetName val="M06"/>
      <sheetName val="M07"/>
      <sheetName val="M08"/>
      <sheetName val="M09"/>
      <sheetName val="M10"/>
      <sheetName val="M11"/>
      <sheetName val="M12"/>
    </sheetNames>
    <sheetDataSet>
      <sheetData sheetId="0"/>
      <sheetData sheetId="1">
        <row r="13">
          <cell r="H13">
            <v>744</v>
          </cell>
          <cell r="I13">
            <v>8.4931506849315067E-2</v>
          </cell>
        </row>
        <row r="21">
          <cell r="B21">
            <v>172.25</v>
          </cell>
          <cell r="C21">
            <v>200.87284946236559</v>
          </cell>
          <cell r="D21">
            <v>99.679032258064538</v>
          </cell>
          <cell r="E21">
            <v>452.67331989247322</v>
          </cell>
          <cell r="F21">
            <v>260.72251344086021</v>
          </cell>
          <cell r="G21">
            <v>159.19999999999999</v>
          </cell>
          <cell r="H21">
            <v>0</v>
          </cell>
          <cell r="I21">
            <v>50.200873655913973</v>
          </cell>
          <cell r="J21">
            <v>25.378763440860215</v>
          </cell>
          <cell r="K21">
            <v>144.34784946236559</v>
          </cell>
        </row>
        <row r="22">
          <cell r="B22">
            <v>5.9772849462365585</v>
          </cell>
          <cell r="C22">
            <v>0</v>
          </cell>
          <cell r="D22">
            <v>7.4193548387096783E-2</v>
          </cell>
          <cell r="E22">
            <v>148.98958333333334</v>
          </cell>
          <cell r="F22">
            <v>44.89038978494623</v>
          </cell>
          <cell r="G22">
            <v>188.55638440860216</v>
          </cell>
          <cell r="H22">
            <v>1038.453629032258</v>
          </cell>
          <cell r="I22">
            <v>0</v>
          </cell>
          <cell r="J22">
            <v>132.86969086021503</v>
          </cell>
          <cell r="K22">
            <v>5.3037634408602159</v>
          </cell>
        </row>
        <row r="24">
          <cell r="B24">
            <v>128.154</v>
          </cell>
          <cell r="C24">
            <v>149.4494</v>
          </cell>
          <cell r="D24">
            <v>74.161200000000008</v>
          </cell>
          <cell r="E24">
            <v>336.78895000000006</v>
          </cell>
          <cell r="F24">
            <v>193.97754999999998</v>
          </cell>
          <cell r="G24">
            <v>118.44479999999999</v>
          </cell>
          <cell r="H24">
            <v>0</v>
          </cell>
          <cell r="I24">
            <v>37.349449999999997</v>
          </cell>
          <cell r="J24">
            <v>18.881799999999998</v>
          </cell>
          <cell r="K24">
            <v>107.39479999999999</v>
          </cell>
        </row>
        <row r="25">
          <cell r="B25">
            <v>4.4470999999999998</v>
          </cell>
          <cell r="C25">
            <v>0</v>
          </cell>
          <cell r="D25">
            <v>5.5200000000000006E-2</v>
          </cell>
          <cell r="E25">
            <v>110.84824999999999</v>
          </cell>
          <cell r="F25">
            <v>33.398449999999997</v>
          </cell>
          <cell r="G25">
            <v>140.28595000000001</v>
          </cell>
          <cell r="H25">
            <v>772.60950000000003</v>
          </cell>
          <cell r="I25">
            <v>0</v>
          </cell>
          <cell r="J25">
            <v>98.855049999999991</v>
          </cell>
          <cell r="K25">
            <v>3.9460000000000006</v>
          </cell>
        </row>
        <row r="27">
          <cell r="B27">
            <v>2.4087200668776063</v>
          </cell>
          <cell r="C27">
            <v>2.3803918836449518</v>
          </cell>
          <cell r="D27">
            <v>2.5871986363120589</v>
          </cell>
          <cell r="E27">
            <v>1.8068295321545462</v>
          </cell>
          <cell r="F27">
            <v>0.58940400312111696</v>
          </cell>
          <cell r="G27">
            <v>0.79412654355040835</v>
          </cell>
          <cell r="H27">
            <v>0</v>
          </cell>
          <cell r="I27">
            <v>0.37819945278674949</v>
          </cell>
          <cell r="J27">
            <v>1.1530792208331022</v>
          </cell>
          <cell r="K27">
            <v>3.5839524052525311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1.0860440504191122</v>
          </cell>
          <cell r="F28">
            <v>1.3184667612833738</v>
          </cell>
          <cell r="G28">
            <v>1.863559946545553</v>
          </cell>
          <cell r="H28">
            <v>2.1907867313098075</v>
          </cell>
          <cell r="I28">
            <v>0</v>
          </cell>
          <cell r="J28">
            <v>2.7112950863724965</v>
          </cell>
          <cell r="K28">
            <v>0.78793461061047187</v>
          </cell>
        </row>
        <row r="30">
          <cell r="B30">
            <v>0.54066654346407605</v>
          </cell>
        </row>
        <row r="31">
          <cell r="B31">
            <v>1.5761358310446252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304.97237706290554</v>
          </cell>
          <cell r="C38">
            <v>338.65795362593809</v>
          </cell>
          <cell r="D38">
            <v>182.0245521329561</v>
          </cell>
          <cell r="E38">
            <v>598.8994532338462</v>
          </cell>
          <cell r="F38">
            <v>164.90129304108598</v>
          </cell>
          <cell r="G38">
            <v>94.060159625519418</v>
          </cell>
          <cell r="H38">
            <v>0</v>
          </cell>
          <cell r="I38">
            <v>17.550656527411221</v>
          </cell>
          <cell r="J38">
            <v>21.397893363273873</v>
          </cell>
          <cell r="K38">
            <v>367.42590505768607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118.330745419482</v>
          </cell>
          <cell r="F39">
            <v>41.99802655445577</v>
          </cell>
          <cell r="G39">
            <v>258.83503859791506</v>
          </cell>
          <cell r="H39">
            <v>1646.4552409499574</v>
          </cell>
          <cell r="I39">
            <v>0</v>
          </cell>
          <cell r="J39">
            <v>262.33734534287555</v>
          </cell>
          <cell r="K39">
            <v>2.7613330762323605</v>
          </cell>
        </row>
        <row r="41">
          <cell r="B41">
            <v>206.41567296371494</v>
          </cell>
          <cell r="C41">
            <v>296.65291906786933</v>
          </cell>
          <cell r="D41">
            <v>104.94337608637721</v>
          </cell>
          <cell r="E41">
            <v>429.74880207242069</v>
          </cell>
          <cell r="F41">
            <v>436.03134730747337</v>
          </cell>
          <cell r="G41">
            <v>244.08931771229177</v>
          </cell>
          <cell r="H41">
            <v>82.797674466088623</v>
          </cell>
          <cell r="I41">
            <v>140.57330130065978</v>
          </cell>
          <cell r="J41">
            <v>744.09233044243479</v>
          </cell>
          <cell r="K41">
            <v>137.76183527464659</v>
          </cell>
        </row>
        <row r="42">
          <cell r="B42">
            <v>45.566086875500112</v>
          </cell>
          <cell r="C42">
            <v>0</v>
          </cell>
          <cell r="D42">
            <v>0.14185222479401624</v>
          </cell>
          <cell r="E42">
            <v>228.06685475215721</v>
          </cell>
          <cell r="F42">
            <v>354.97731186787047</v>
          </cell>
          <cell r="G42">
            <v>465.24377460775241</v>
          </cell>
          <cell r="H42">
            <v>1708.6415703605467</v>
          </cell>
          <cell r="I42">
            <v>2.994658078984787</v>
          </cell>
          <cell r="J42">
            <v>250.52679034454312</v>
          </cell>
          <cell r="K42">
            <v>92.266991549352355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2">
        <row r="13">
          <cell r="H13">
            <v>744</v>
          </cell>
          <cell r="I13">
            <v>8.4931506849315067E-2</v>
          </cell>
        </row>
        <row r="21">
          <cell r="B21">
            <v>172.25</v>
          </cell>
          <cell r="C21">
            <v>200.87284946236559</v>
          </cell>
          <cell r="D21">
            <v>99.679032258064538</v>
          </cell>
          <cell r="E21">
            <v>452.67331989247322</v>
          </cell>
          <cell r="F21">
            <v>260.72251344086021</v>
          </cell>
          <cell r="G21">
            <v>159.19999999999999</v>
          </cell>
          <cell r="H21">
            <v>0</v>
          </cell>
          <cell r="I21">
            <v>50.200873655913973</v>
          </cell>
          <cell r="J21">
            <v>25.378763440860215</v>
          </cell>
          <cell r="K21">
            <v>144.34784946236559</v>
          </cell>
        </row>
        <row r="22">
          <cell r="B22">
            <v>5.9772849462365585</v>
          </cell>
          <cell r="C22">
            <v>0</v>
          </cell>
          <cell r="D22">
            <v>7.4193548387096783E-2</v>
          </cell>
          <cell r="E22">
            <v>148.98958333333334</v>
          </cell>
          <cell r="F22">
            <v>44.89038978494623</v>
          </cell>
          <cell r="G22">
            <v>188.55638440860216</v>
          </cell>
          <cell r="H22">
            <v>1038.453629032258</v>
          </cell>
          <cell r="I22">
            <v>0</v>
          </cell>
          <cell r="J22">
            <v>132.86969086021503</v>
          </cell>
          <cell r="K22">
            <v>5.3037634408602159</v>
          </cell>
        </row>
        <row r="24">
          <cell r="B24">
            <v>128.154</v>
          </cell>
          <cell r="C24">
            <v>149.4494</v>
          </cell>
          <cell r="D24">
            <v>74.161200000000008</v>
          </cell>
          <cell r="E24">
            <v>336.78895000000006</v>
          </cell>
          <cell r="F24">
            <v>193.97754999999998</v>
          </cell>
          <cell r="G24">
            <v>118.44479999999999</v>
          </cell>
          <cell r="H24">
            <v>0</v>
          </cell>
          <cell r="I24">
            <v>37.349449999999997</v>
          </cell>
          <cell r="J24">
            <v>18.881799999999998</v>
          </cell>
          <cell r="K24">
            <v>107.39479999999999</v>
          </cell>
        </row>
        <row r="25">
          <cell r="B25">
            <v>4.4470999999999998</v>
          </cell>
          <cell r="C25">
            <v>0</v>
          </cell>
          <cell r="D25">
            <v>5.5200000000000006E-2</v>
          </cell>
          <cell r="E25">
            <v>110.84824999999999</v>
          </cell>
          <cell r="F25">
            <v>33.398449999999997</v>
          </cell>
          <cell r="G25">
            <v>140.28595000000001</v>
          </cell>
          <cell r="H25">
            <v>772.60950000000003</v>
          </cell>
          <cell r="I25">
            <v>0</v>
          </cell>
          <cell r="J25">
            <v>98.855049999999991</v>
          </cell>
          <cell r="K25">
            <v>3.9460000000000006</v>
          </cell>
        </row>
        <row r="27">
          <cell r="B27">
            <v>2.4087200668776063</v>
          </cell>
          <cell r="C27">
            <v>2.3803918836449518</v>
          </cell>
          <cell r="D27">
            <v>2.5871986363120589</v>
          </cell>
          <cell r="E27">
            <v>1.8068295321545462</v>
          </cell>
          <cell r="F27">
            <v>0.58940400312111696</v>
          </cell>
          <cell r="G27">
            <v>0.79412654355040835</v>
          </cell>
          <cell r="H27">
            <v>0</v>
          </cell>
          <cell r="I27">
            <v>0.37819945278674949</v>
          </cell>
          <cell r="J27">
            <v>1.1530792208331022</v>
          </cell>
          <cell r="K27">
            <v>3.5839524052525311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1.0860440504191122</v>
          </cell>
          <cell r="F28">
            <v>1.3184667612833738</v>
          </cell>
          <cell r="G28">
            <v>1.863559946545553</v>
          </cell>
          <cell r="H28">
            <v>2.1907867313098075</v>
          </cell>
          <cell r="I28">
            <v>0</v>
          </cell>
          <cell r="J28">
            <v>2.7112950863724965</v>
          </cell>
          <cell r="K28">
            <v>0.78793461061047187</v>
          </cell>
        </row>
        <row r="30">
          <cell r="B30">
            <v>0.54066654346407605</v>
          </cell>
        </row>
        <row r="31">
          <cell r="B31">
            <v>1.5761358310446252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304.97237706290554</v>
          </cell>
          <cell r="C38">
            <v>338.65795362593809</v>
          </cell>
          <cell r="D38">
            <v>182.0245521329561</v>
          </cell>
          <cell r="E38">
            <v>598.8994532338462</v>
          </cell>
          <cell r="F38">
            <v>164.90129304108598</v>
          </cell>
          <cell r="G38">
            <v>94.060159625519418</v>
          </cell>
          <cell r="H38">
            <v>0</v>
          </cell>
          <cell r="I38">
            <v>17.550656527411221</v>
          </cell>
          <cell r="J38">
            <v>21.397893363273873</v>
          </cell>
          <cell r="K38">
            <v>367.42590505768607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118.330745419482</v>
          </cell>
          <cell r="F39">
            <v>41.99802655445577</v>
          </cell>
          <cell r="G39">
            <v>258.83503859791506</v>
          </cell>
          <cell r="H39">
            <v>1646.4552409499574</v>
          </cell>
          <cell r="I39">
            <v>0</v>
          </cell>
          <cell r="J39">
            <v>262.33734534287555</v>
          </cell>
          <cell r="K39">
            <v>2.7613330762323605</v>
          </cell>
        </row>
        <row r="41">
          <cell r="B41">
            <v>206.41567296371494</v>
          </cell>
          <cell r="C41">
            <v>296.65291906786933</v>
          </cell>
          <cell r="D41">
            <v>104.94337608637721</v>
          </cell>
          <cell r="E41">
            <v>429.74880207242069</v>
          </cell>
          <cell r="F41">
            <v>436.03134730747337</v>
          </cell>
          <cell r="G41">
            <v>244.08931771229177</v>
          </cell>
          <cell r="H41">
            <v>82.797674466088623</v>
          </cell>
          <cell r="I41">
            <v>140.57330130065978</v>
          </cell>
          <cell r="J41">
            <v>744.09233044243479</v>
          </cell>
          <cell r="K41">
            <v>137.76183527464659</v>
          </cell>
        </row>
        <row r="42">
          <cell r="B42">
            <v>45.566086875500112</v>
          </cell>
          <cell r="C42">
            <v>0</v>
          </cell>
          <cell r="D42">
            <v>0.14185222479401624</v>
          </cell>
          <cell r="E42">
            <v>228.06685475215721</v>
          </cell>
          <cell r="F42">
            <v>354.97731186787047</v>
          </cell>
          <cell r="G42">
            <v>465.24377460775241</v>
          </cell>
          <cell r="H42">
            <v>1708.6415703605467</v>
          </cell>
          <cell r="I42">
            <v>2.994658078984787</v>
          </cell>
          <cell r="J42">
            <v>250.52679034454312</v>
          </cell>
          <cell r="K42">
            <v>92.266991549352355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3">
        <row r="13">
          <cell r="H13">
            <v>720</v>
          </cell>
          <cell r="I13">
            <v>8.2191780821917804E-2</v>
          </cell>
        </row>
        <row r="21">
          <cell r="B21">
            <v>172.14666666666665</v>
          </cell>
          <cell r="C21">
            <v>200.48166666666665</v>
          </cell>
          <cell r="D21">
            <v>99.611944444444447</v>
          </cell>
          <cell r="E21">
            <v>451.85930555555564</v>
          </cell>
          <cell r="F21">
            <v>259.70680555555555</v>
          </cell>
          <cell r="G21">
            <v>159.19999999999999</v>
          </cell>
          <cell r="H21">
            <v>0</v>
          </cell>
          <cell r="I21">
            <v>49.942638888888887</v>
          </cell>
          <cell r="J21">
            <v>25.346388888888885</v>
          </cell>
          <cell r="K21">
            <v>144.27500000000001</v>
          </cell>
        </row>
        <row r="22">
          <cell r="B22">
            <v>6.0044444444444443</v>
          </cell>
          <cell r="C22">
            <v>0</v>
          </cell>
          <cell r="D22">
            <v>7.3333333333333348E-2</v>
          </cell>
          <cell r="E22">
            <v>148.70930555555555</v>
          </cell>
          <cell r="F22">
            <v>44.935416666666669</v>
          </cell>
          <cell r="G22">
            <v>188.25013888888893</v>
          </cell>
          <cell r="H22">
            <v>1036.4288888888889</v>
          </cell>
          <cell r="I22">
            <v>0</v>
          </cell>
          <cell r="J22">
            <v>132.65624999999997</v>
          </cell>
          <cell r="K22">
            <v>5.3033333333333337</v>
          </cell>
        </row>
        <row r="24">
          <cell r="B24">
            <v>123.94559999999998</v>
          </cell>
          <cell r="C24">
            <v>144.3468</v>
          </cell>
          <cell r="D24">
            <v>71.720600000000005</v>
          </cell>
          <cell r="E24">
            <v>325.33870000000007</v>
          </cell>
          <cell r="F24">
            <v>186.9889</v>
          </cell>
          <cell r="G24">
            <v>114.62399999999998</v>
          </cell>
          <cell r="H24">
            <v>0</v>
          </cell>
          <cell r="I24">
            <v>35.9587</v>
          </cell>
          <cell r="J24">
            <v>18.249399999999998</v>
          </cell>
          <cell r="K24">
            <v>103.878</v>
          </cell>
        </row>
        <row r="25">
          <cell r="B25">
            <v>4.3231999999999999</v>
          </cell>
          <cell r="C25">
            <v>0</v>
          </cell>
          <cell r="D25">
            <v>5.2800000000000014E-2</v>
          </cell>
          <cell r="E25">
            <v>107.0707</v>
          </cell>
          <cell r="F25">
            <v>32.353499999999997</v>
          </cell>
          <cell r="G25">
            <v>135.54010000000002</v>
          </cell>
          <cell r="H25">
            <v>746.22880000000009</v>
          </cell>
          <cell r="I25">
            <v>0</v>
          </cell>
          <cell r="J25">
            <v>95.512499999999989</v>
          </cell>
          <cell r="K25">
            <v>3.8184000000000005</v>
          </cell>
        </row>
        <row r="27">
          <cell r="B27">
            <v>2.412245779599397</v>
          </cell>
          <cell r="C27">
            <v>2.3840236577751273</v>
          </cell>
          <cell r="D27">
            <v>2.5908366922484358</v>
          </cell>
          <cell r="E27">
            <v>1.8103498708400507</v>
          </cell>
          <cell r="F27">
            <v>0.5896463767305623</v>
          </cell>
          <cell r="G27">
            <v>0.79557523431998922</v>
          </cell>
          <cell r="H27">
            <v>0</v>
          </cell>
          <cell r="I27">
            <v>0.37942109018211345</v>
          </cell>
          <cell r="J27">
            <v>1.1548456978660431</v>
          </cell>
          <cell r="K27">
            <v>3.5881746837473725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1.088262079970495</v>
          </cell>
          <cell r="F28">
            <v>1.3208429505522765</v>
          </cell>
          <cell r="G28">
            <v>1.8674047369552937</v>
          </cell>
          <cell r="H28">
            <v>2.195339510835181</v>
          </cell>
          <cell r="I28">
            <v>0</v>
          </cell>
          <cell r="J28">
            <v>2.7168216804407463</v>
          </cell>
          <cell r="K28">
            <v>0.78822249805126432</v>
          </cell>
        </row>
        <row r="30">
          <cell r="B30">
            <v>0.52323441765037093</v>
          </cell>
        </row>
        <row r="31">
          <cell r="B31">
            <v>1.5253181904149267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295.34664653271079</v>
          </cell>
          <cell r="C38">
            <v>327.43616155573523</v>
          </cell>
          <cell r="D38">
            <v>176.28704520050692</v>
          </cell>
          <cell r="E38">
            <v>579.54589208119091</v>
          </cell>
          <cell r="F38">
            <v>159.19962995334612</v>
          </cell>
          <cell r="G38">
            <v>91.192015658694459</v>
          </cell>
          <cell r="H38">
            <v>0</v>
          </cell>
          <cell r="I38">
            <v>16.911057765154137</v>
          </cell>
          <cell r="J38">
            <v>20.710372138693838</v>
          </cell>
          <cell r="K38">
            <v>355.80002228576791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114.48314917291074</v>
          </cell>
          <cell r="F39">
            <v>40.753608738914025</v>
          </cell>
          <cell r="G39">
            <v>250.5301812663167</v>
          </cell>
          <cell r="H39">
            <v>1593.1128736372007</v>
          </cell>
          <cell r="I39">
            <v>0</v>
          </cell>
          <cell r="J39">
            <v>253.93198055930802</v>
          </cell>
          <cell r="K39">
            <v>2.6706543759987644</v>
          </cell>
        </row>
        <row r="41">
          <cell r="B41">
            <v>199.7604359705586</v>
          </cell>
          <cell r="C41">
            <v>287.08826027640561</v>
          </cell>
          <cell r="D41">
            <v>101.55980046593704</v>
          </cell>
          <cell r="E41">
            <v>415.89287686939713</v>
          </cell>
          <cell r="F41">
            <v>421.97286080249455</v>
          </cell>
          <cell r="G41">
            <v>236.21941019243644</v>
          </cell>
          <cell r="H41">
            <v>80.128118718977802</v>
          </cell>
          <cell r="I41">
            <v>136.04094858909644</v>
          </cell>
          <cell r="J41">
            <v>720.10136729132296</v>
          </cell>
          <cell r="K41">
            <v>133.32012961731451</v>
          </cell>
        </row>
        <row r="42">
          <cell r="B42">
            <v>44.096948884895532</v>
          </cell>
          <cell r="C42">
            <v>0</v>
          </cell>
          <cell r="D42">
            <v>0.1372786371373434</v>
          </cell>
          <cell r="E42">
            <v>220.7135421530399</v>
          </cell>
          <cell r="F42">
            <v>343.53216284524979</v>
          </cell>
          <cell r="G42">
            <v>450.24342344667804</v>
          </cell>
          <cell r="H42">
            <v>1653.5516906831099</v>
          </cell>
          <cell r="I42">
            <v>2.8981045617883603</v>
          </cell>
          <cell r="J42">
            <v>242.4493263664526</v>
          </cell>
          <cell r="K42">
            <v>89.292126866889816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4">
        <row r="13">
          <cell r="H13">
            <v>744</v>
          </cell>
          <cell r="I13">
            <v>8.4931506849315067E-2</v>
          </cell>
        </row>
        <row r="21">
          <cell r="B21">
            <v>172.25</v>
          </cell>
          <cell r="C21">
            <v>200.87284946236559</v>
          </cell>
          <cell r="D21">
            <v>99.679032258064538</v>
          </cell>
          <cell r="E21">
            <v>452.67331989247322</v>
          </cell>
          <cell r="F21">
            <v>260.72251344086021</v>
          </cell>
          <cell r="G21">
            <v>159.19999999999999</v>
          </cell>
          <cell r="H21">
            <v>0</v>
          </cell>
          <cell r="I21">
            <v>50.200873655913973</v>
          </cell>
          <cell r="J21">
            <v>25.378763440860215</v>
          </cell>
          <cell r="K21">
            <v>144.34784946236559</v>
          </cell>
        </row>
        <row r="22">
          <cell r="B22">
            <v>5.9772849462365585</v>
          </cell>
          <cell r="C22">
            <v>0</v>
          </cell>
          <cell r="D22">
            <v>7.4193548387096783E-2</v>
          </cell>
          <cell r="E22">
            <v>148.98958333333334</v>
          </cell>
          <cell r="F22">
            <v>44.89038978494623</v>
          </cell>
          <cell r="G22">
            <v>188.55638440860216</v>
          </cell>
          <cell r="H22">
            <v>1038.453629032258</v>
          </cell>
          <cell r="I22">
            <v>0</v>
          </cell>
          <cell r="J22">
            <v>132.86969086021503</v>
          </cell>
          <cell r="K22">
            <v>5.3037634408602159</v>
          </cell>
        </row>
        <row r="24">
          <cell r="B24">
            <v>128.154</v>
          </cell>
          <cell r="C24">
            <v>149.4494</v>
          </cell>
          <cell r="D24">
            <v>74.161200000000008</v>
          </cell>
          <cell r="E24">
            <v>336.78895000000006</v>
          </cell>
          <cell r="F24">
            <v>193.97754999999998</v>
          </cell>
          <cell r="G24">
            <v>118.44479999999999</v>
          </cell>
          <cell r="H24">
            <v>0</v>
          </cell>
          <cell r="I24">
            <v>37.349449999999997</v>
          </cell>
          <cell r="J24">
            <v>18.881799999999998</v>
          </cell>
          <cell r="K24">
            <v>107.39479999999999</v>
          </cell>
        </row>
        <row r="25">
          <cell r="B25">
            <v>4.4470999999999998</v>
          </cell>
          <cell r="C25">
            <v>0</v>
          </cell>
          <cell r="D25">
            <v>5.5200000000000006E-2</v>
          </cell>
          <cell r="E25">
            <v>110.84824999999999</v>
          </cell>
          <cell r="F25">
            <v>33.398449999999997</v>
          </cell>
          <cell r="G25">
            <v>140.28595000000001</v>
          </cell>
          <cell r="H25">
            <v>772.60950000000003</v>
          </cell>
          <cell r="I25">
            <v>0</v>
          </cell>
          <cell r="J25">
            <v>98.855049999999991</v>
          </cell>
          <cell r="K25">
            <v>3.9460000000000006</v>
          </cell>
        </row>
        <row r="27">
          <cell r="B27">
            <v>2.4087200668776063</v>
          </cell>
          <cell r="C27">
            <v>2.3803918836449518</v>
          </cell>
          <cell r="D27">
            <v>2.5871986363120589</v>
          </cell>
          <cell r="E27">
            <v>1.8068295321545462</v>
          </cell>
          <cell r="F27">
            <v>0.58940400312111696</v>
          </cell>
          <cell r="G27">
            <v>0.79412654355040835</v>
          </cell>
          <cell r="H27">
            <v>0</v>
          </cell>
          <cell r="I27">
            <v>0.37819945278674949</v>
          </cell>
          <cell r="J27">
            <v>1.1530792208331022</v>
          </cell>
          <cell r="K27">
            <v>3.5839524052525311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1.0860440504191122</v>
          </cell>
          <cell r="F28">
            <v>1.3184667612833738</v>
          </cell>
          <cell r="G28">
            <v>1.863559946545553</v>
          </cell>
          <cell r="H28">
            <v>2.1907867313098075</v>
          </cell>
          <cell r="I28">
            <v>0</v>
          </cell>
          <cell r="J28">
            <v>2.7112950863724965</v>
          </cell>
          <cell r="K28">
            <v>0.78793461061047187</v>
          </cell>
        </row>
        <row r="30">
          <cell r="B30">
            <v>0.54066654346407605</v>
          </cell>
        </row>
        <row r="31">
          <cell r="B31">
            <v>1.5761358310446252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304.97237706290554</v>
          </cell>
          <cell r="C38">
            <v>338.65795362593809</v>
          </cell>
          <cell r="D38">
            <v>182.0245521329561</v>
          </cell>
          <cell r="E38">
            <v>598.8994532338462</v>
          </cell>
          <cell r="F38">
            <v>164.90129304108598</v>
          </cell>
          <cell r="G38">
            <v>94.060159625519418</v>
          </cell>
          <cell r="H38">
            <v>0</v>
          </cell>
          <cell r="I38">
            <v>17.550656527411221</v>
          </cell>
          <cell r="J38">
            <v>21.397893363273873</v>
          </cell>
          <cell r="K38">
            <v>367.42590505768607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118.330745419482</v>
          </cell>
          <cell r="F39">
            <v>41.99802655445577</v>
          </cell>
          <cell r="G39">
            <v>258.83503859791506</v>
          </cell>
          <cell r="H39">
            <v>1646.4552409499574</v>
          </cell>
          <cell r="I39">
            <v>0</v>
          </cell>
          <cell r="J39">
            <v>262.33734534287555</v>
          </cell>
          <cell r="K39">
            <v>2.7613330762323605</v>
          </cell>
        </row>
        <row r="41">
          <cell r="B41">
            <v>206.41567296371494</v>
          </cell>
          <cell r="C41">
            <v>296.65291906786933</v>
          </cell>
          <cell r="D41">
            <v>104.94337608637721</v>
          </cell>
          <cell r="E41">
            <v>429.74880207242069</v>
          </cell>
          <cell r="F41">
            <v>436.03134730747337</v>
          </cell>
          <cell r="G41">
            <v>244.08931771229177</v>
          </cell>
          <cell r="H41">
            <v>82.797674466088623</v>
          </cell>
          <cell r="I41">
            <v>140.57330130065978</v>
          </cell>
          <cell r="J41">
            <v>744.09233044243479</v>
          </cell>
          <cell r="K41">
            <v>137.76183527464659</v>
          </cell>
        </row>
        <row r="42">
          <cell r="B42">
            <v>45.566086875500112</v>
          </cell>
          <cell r="C42">
            <v>0</v>
          </cell>
          <cell r="D42">
            <v>0.14185222479401624</v>
          </cell>
          <cell r="E42">
            <v>228.06685475215721</v>
          </cell>
          <cell r="F42">
            <v>354.97731186787047</v>
          </cell>
          <cell r="G42">
            <v>465.24377460775241</v>
          </cell>
          <cell r="H42">
            <v>1708.6415703605467</v>
          </cell>
          <cell r="I42">
            <v>2.994658078984787</v>
          </cell>
          <cell r="J42">
            <v>250.52679034454312</v>
          </cell>
          <cell r="K42">
            <v>92.266991549352355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5">
        <row r="13">
          <cell r="H13">
            <v>720</v>
          </cell>
          <cell r="I13">
            <v>8.2191780821917804E-2</v>
          </cell>
        </row>
        <row r="21">
          <cell r="B21">
            <v>171.03749999999999</v>
          </cell>
          <cell r="C21">
            <v>199.41791666666666</v>
          </cell>
          <cell r="D21">
            <v>99.845972222222215</v>
          </cell>
          <cell r="E21">
            <v>443.54138888888889</v>
          </cell>
          <cell r="F21">
            <v>248.75916666666669</v>
          </cell>
          <cell r="G21">
            <v>159.19999999999999</v>
          </cell>
          <cell r="H21">
            <v>0</v>
          </cell>
          <cell r="I21">
            <v>48.794722222222219</v>
          </cell>
          <cell r="J21">
            <v>25.055833333333329</v>
          </cell>
          <cell r="K21">
            <v>143.49166666666667</v>
          </cell>
        </row>
        <row r="22">
          <cell r="B22">
            <v>6.4915277777777787</v>
          </cell>
          <cell r="C22">
            <v>0</v>
          </cell>
          <cell r="D22">
            <v>6.6666666666666666E-2</v>
          </cell>
          <cell r="E22">
            <v>146.38708333333335</v>
          </cell>
          <cell r="F22">
            <v>46.000833333333333</v>
          </cell>
          <cell r="G22">
            <v>185.78874999999999</v>
          </cell>
          <cell r="H22">
            <v>1018.0629166666665</v>
          </cell>
          <cell r="I22">
            <v>0</v>
          </cell>
          <cell r="J22">
            <v>130.72819444444445</v>
          </cell>
          <cell r="K22">
            <v>5.419027777777778</v>
          </cell>
        </row>
        <row r="24">
          <cell r="B24">
            <v>123.14700000000001</v>
          </cell>
          <cell r="C24">
            <v>143.58089999999999</v>
          </cell>
          <cell r="D24">
            <v>71.889099999999985</v>
          </cell>
          <cell r="E24">
            <v>319.34980000000002</v>
          </cell>
          <cell r="F24">
            <v>179.10660000000001</v>
          </cell>
          <cell r="G24">
            <v>114.624</v>
          </cell>
          <cell r="H24">
            <v>0</v>
          </cell>
          <cell r="I24">
            <v>35.132199999999997</v>
          </cell>
          <cell r="J24">
            <v>18.040199999999999</v>
          </cell>
          <cell r="K24">
            <v>103.31399999999999</v>
          </cell>
        </row>
        <row r="25">
          <cell r="B25">
            <v>4.6739000000000006</v>
          </cell>
          <cell r="C25">
            <v>0</v>
          </cell>
          <cell r="D25">
            <v>4.8000000000000001E-2</v>
          </cell>
          <cell r="E25">
            <v>105.39870000000001</v>
          </cell>
          <cell r="F25">
            <v>33.120599999999996</v>
          </cell>
          <cell r="G25">
            <v>133.7679</v>
          </cell>
          <cell r="H25">
            <v>733.00529999999992</v>
          </cell>
          <cell r="I25">
            <v>0</v>
          </cell>
          <cell r="J25">
            <v>94.124300000000019</v>
          </cell>
          <cell r="K25">
            <v>3.9017000000000004</v>
          </cell>
        </row>
        <row r="27">
          <cell r="B27">
            <v>2.4409598861147099</v>
          </cell>
          <cell r="C27">
            <v>2.4174935471844861</v>
          </cell>
          <cell r="D27">
            <v>2.6156024595808214</v>
          </cell>
          <cell r="E27">
            <v>1.843520022981628</v>
          </cell>
          <cell r="F27">
            <v>0.58673186957434054</v>
          </cell>
          <cell r="G27">
            <v>0.8094594883249242</v>
          </cell>
          <cell r="H27">
            <v>0</v>
          </cell>
          <cell r="I27">
            <v>0.38758918933672515</v>
          </cell>
          <cell r="J27">
            <v>1.1710531803482991</v>
          </cell>
          <cell r="K27">
            <v>3.6238978213683444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1.1063464581472109</v>
          </cell>
          <cell r="F28">
            <v>1.3428585734954073</v>
          </cell>
          <cell r="G28">
            <v>1.9045464178375577</v>
          </cell>
          <cell r="H28">
            <v>2.2371030099895997</v>
          </cell>
          <cell r="I28">
            <v>0</v>
          </cell>
          <cell r="J28">
            <v>2.7698679410579952</v>
          </cell>
          <cell r="K28">
            <v>0.77914083810466017</v>
          </cell>
        </row>
        <row r="30">
          <cell r="B30">
            <v>0.52329113869365151</v>
          </cell>
        </row>
        <row r="31">
          <cell r="B31">
            <v>1.5254835419976527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296.35981857149631</v>
          </cell>
          <cell r="C38">
            <v>328.13729180063751</v>
          </cell>
          <cell r="D38">
            <v>178.2503909467051</v>
          </cell>
          <cell r="E38">
            <v>578.01457185060258</v>
          </cell>
          <cell r="F38">
            <v>154.64494496279545</v>
          </cell>
          <cell r="G38">
            <v>92.783484389756111</v>
          </cell>
          <cell r="H38">
            <v>0</v>
          </cell>
          <cell r="I38">
            <v>16.540789481481657</v>
          </cell>
          <cell r="J38">
            <v>20.737170969955667</v>
          </cell>
          <cell r="K38">
            <v>356.66420956924941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114.07484281654546</v>
          </cell>
          <cell r="F39">
            <v>42.29590652866198</v>
          </cell>
          <cell r="G39">
            <v>251.4593251748056</v>
          </cell>
          <cell r="H39">
            <v>1590.0616908470879</v>
          </cell>
          <cell r="I39">
            <v>0</v>
          </cell>
          <cell r="J39">
            <v>254.57481793090341</v>
          </cell>
          <cell r="K39">
            <v>2.6855647450545383</v>
          </cell>
        </row>
        <row r="41">
          <cell r="B41">
            <v>199.7820909304622</v>
          </cell>
          <cell r="C41">
            <v>287.11938197843278</v>
          </cell>
          <cell r="D41">
            <v>101.57081002043778</v>
          </cell>
          <cell r="E41">
            <v>415.93796159064868</v>
          </cell>
          <cell r="F41">
            <v>422.01860462226904</v>
          </cell>
          <cell r="G41">
            <v>236.24501747463589</v>
          </cell>
          <cell r="H41">
            <v>80.136804979545786</v>
          </cell>
          <cell r="I41">
            <v>136.05569606034942</v>
          </cell>
          <cell r="J41">
            <v>720.17942962713778</v>
          </cell>
          <cell r="K41">
            <v>133.33458213914241</v>
          </cell>
        </row>
        <row r="42">
          <cell r="B42">
            <v>44.101729199152125</v>
          </cell>
          <cell r="C42">
            <v>0</v>
          </cell>
          <cell r="D42">
            <v>0.13729351877978871</v>
          </cell>
          <cell r="E42">
            <v>220.73746852706029</v>
          </cell>
          <cell r="F42">
            <v>343.5694033287113</v>
          </cell>
          <cell r="G42">
            <v>450.29223192686698</v>
          </cell>
          <cell r="H42">
            <v>1653.7309433733951</v>
          </cell>
          <cell r="I42">
            <v>2.8984187297955395</v>
          </cell>
          <cell r="J42">
            <v>242.47560900052684</v>
          </cell>
          <cell r="K42">
            <v>89.301806548542586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6">
        <row r="13">
          <cell r="H13">
            <v>744</v>
          </cell>
          <cell r="I13">
            <v>8.4931506849315067E-2</v>
          </cell>
        </row>
        <row r="21">
          <cell r="B21">
            <v>171.17661290322579</v>
          </cell>
          <cell r="C21">
            <v>199.8434139784946</v>
          </cell>
          <cell r="D21">
            <v>99.905510752688173</v>
          </cell>
          <cell r="E21">
            <v>444.62372311827954</v>
          </cell>
          <cell r="F21">
            <v>250.12802419354838</v>
          </cell>
          <cell r="G21">
            <v>159.19999999999999</v>
          </cell>
          <cell r="H21">
            <v>0</v>
          </cell>
          <cell r="I21">
            <v>49.089986559139781</v>
          </cell>
          <cell r="J21">
            <v>25.097580645161287</v>
          </cell>
          <cell r="K21">
            <v>143.58978494623656</v>
          </cell>
        </row>
        <row r="22">
          <cell r="B22">
            <v>6.4486559139784951</v>
          </cell>
          <cell r="C22">
            <v>0</v>
          </cell>
          <cell r="D22">
            <v>6.7741935483870974E-2</v>
          </cell>
          <cell r="E22">
            <v>146.74227150537635</v>
          </cell>
          <cell r="F22">
            <v>45.921438172043011</v>
          </cell>
          <cell r="G22">
            <v>186.17439516129033</v>
          </cell>
          <cell r="H22">
            <v>1020.6801075268817</v>
          </cell>
          <cell r="I22">
            <v>0</v>
          </cell>
          <cell r="J22">
            <v>131.00383064516132</v>
          </cell>
          <cell r="K22">
            <v>5.4157258064516132</v>
          </cell>
        </row>
        <row r="24">
          <cell r="B24">
            <v>127.35539999999999</v>
          </cell>
          <cell r="C24">
            <v>148.68349999999998</v>
          </cell>
          <cell r="D24">
            <v>74.329700000000003</v>
          </cell>
          <cell r="E24">
            <v>330.80005</v>
          </cell>
          <cell r="F24">
            <v>186.09524999999999</v>
          </cell>
          <cell r="G24">
            <v>118.44479999999999</v>
          </cell>
          <cell r="H24">
            <v>0</v>
          </cell>
          <cell r="I24">
            <v>36.522949999999994</v>
          </cell>
          <cell r="J24">
            <v>18.672599999999999</v>
          </cell>
          <cell r="K24">
            <v>106.8308</v>
          </cell>
        </row>
        <row r="25">
          <cell r="B25">
            <v>4.7978000000000005</v>
          </cell>
          <cell r="C25">
            <v>0</v>
          </cell>
          <cell r="D25">
            <v>5.0400000000000007E-2</v>
          </cell>
          <cell r="E25">
            <v>109.17625000000001</v>
          </cell>
          <cell r="F25">
            <v>34.165550000000003</v>
          </cell>
          <cell r="G25">
            <v>138.51374999999999</v>
          </cell>
          <cell r="H25">
            <v>759.38599999999997</v>
          </cell>
          <cell r="I25">
            <v>0</v>
          </cell>
          <cell r="J25">
            <v>97.466850000000022</v>
          </cell>
          <cell r="K25">
            <v>4.0293000000000001</v>
          </cell>
        </row>
        <row r="27">
          <cell r="B27">
            <v>2.4365079118924262</v>
          </cell>
          <cell r="C27">
            <v>2.4127820992023952</v>
          </cell>
          <cell r="D27">
            <v>2.6111655079240452</v>
          </cell>
          <cell r="E27">
            <v>1.838929679388331</v>
          </cell>
          <cell r="F27">
            <v>0.58658351232477324</v>
          </cell>
          <cell r="G27">
            <v>0.80756291839389382</v>
          </cell>
          <cell r="H27">
            <v>0</v>
          </cell>
          <cell r="I27">
            <v>0.38610406487185772</v>
          </cell>
          <cell r="J27">
            <v>1.1687638812998016</v>
          </cell>
          <cell r="K27">
            <v>3.6185231835954075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1.1035450615578695</v>
          </cell>
          <cell r="F28">
            <v>1.3397722028412422</v>
          </cell>
          <cell r="G28">
            <v>1.8995035086896794</v>
          </cell>
          <cell r="H28">
            <v>2.2312030208140836</v>
          </cell>
          <cell r="I28">
            <v>0</v>
          </cell>
          <cell r="J28">
            <v>2.7626301772924147</v>
          </cell>
          <cell r="K28">
            <v>0.77914590743633882</v>
          </cell>
        </row>
        <row r="30">
          <cell r="B30">
            <v>0.54072326450735675</v>
          </cell>
        </row>
        <row r="31">
          <cell r="B31">
            <v>1.5763011826273507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305.98554910169105</v>
          </cell>
          <cell r="C38">
            <v>339.35908387084032</v>
          </cell>
          <cell r="D38">
            <v>183.9878978791543</v>
          </cell>
          <cell r="E38">
            <v>597.36813300325775</v>
          </cell>
          <cell r="F38">
            <v>160.34660805053537</v>
          </cell>
          <cell r="G38">
            <v>95.651628356581071</v>
          </cell>
          <cell r="H38">
            <v>0</v>
          </cell>
          <cell r="I38">
            <v>17.18038824373874</v>
          </cell>
          <cell r="J38">
            <v>21.424692194535698</v>
          </cell>
          <cell r="K38">
            <v>368.29009234116756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117.92243906311673</v>
          </cell>
          <cell r="F39">
            <v>43.540324344203725</v>
          </cell>
          <cell r="G39">
            <v>259.76418250640404</v>
          </cell>
          <cell r="H39">
            <v>1643.4040581598449</v>
          </cell>
          <cell r="I39">
            <v>0</v>
          </cell>
          <cell r="J39">
            <v>262.9801827144708</v>
          </cell>
          <cell r="K39">
            <v>2.7762434452881335</v>
          </cell>
        </row>
        <row r="41">
          <cell r="B41">
            <v>206.4373279236186</v>
          </cell>
          <cell r="C41">
            <v>296.68404076989657</v>
          </cell>
          <cell r="D41">
            <v>104.95438564087797</v>
          </cell>
          <cell r="E41">
            <v>429.7938867936723</v>
          </cell>
          <cell r="F41">
            <v>436.07709112724791</v>
          </cell>
          <cell r="G41">
            <v>244.11492499449125</v>
          </cell>
          <cell r="H41">
            <v>82.806360726656607</v>
          </cell>
          <cell r="I41">
            <v>140.58804877191278</v>
          </cell>
          <cell r="J41">
            <v>744.17039277824961</v>
          </cell>
          <cell r="K41">
            <v>137.77628779647449</v>
          </cell>
        </row>
        <row r="42">
          <cell r="B42">
            <v>45.570867189756704</v>
          </cell>
          <cell r="C42">
            <v>0</v>
          </cell>
          <cell r="D42">
            <v>0.14186710643646155</v>
          </cell>
          <cell r="E42">
            <v>228.09078112617766</v>
          </cell>
          <cell r="F42">
            <v>355.01455235133193</v>
          </cell>
          <cell r="G42">
            <v>465.2925830879413</v>
          </cell>
          <cell r="H42">
            <v>1708.8208230508324</v>
          </cell>
          <cell r="I42">
            <v>2.9949722469919666</v>
          </cell>
          <cell r="J42">
            <v>250.55307297861742</v>
          </cell>
          <cell r="K42">
            <v>92.276671231005139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7">
        <row r="13">
          <cell r="H13">
            <v>744</v>
          </cell>
          <cell r="I13">
            <v>8.493150684931508E-2</v>
          </cell>
        </row>
        <row r="21">
          <cell r="B21">
            <v>86.347580645161301</v>
          </cell>
          <cell r="C21">
            <v>77.172513440860214</v>
          </cell>
          <cell r="D21">
            <v>36.701075268817199</v>
          </cell>
          <cell r="E21">
            <v>287.18931451612906</v>
          </cell>
          <cell r="F21">
            <v>458.81720430107526</v>
          </cell>
          <cell r="G21">
            <v>233.58998655913979</v>
          </cell>
          <cell r="H21">
            <v>4.2626344086021497</v>
          </cell>
          <cell r="I21">
            <v>15.094153225806453</v>
          </cell>
          <cell r="J21">
            <v>355.69173387096777</v>
          </cell>
          <cell r="K21">
            <v>93.706518817204312</v>
          </cell>
        </row>
        <row r="22">
          <cell r="B22">
            <v>18.459341397849464</v>
          </cell>
          <cell r="C22">
            <v>0</v>
          </cell>
          <cell r="D22">
            <v>5.1322580645161286</v>
          </cell>
          <cell r="E22">
            <v>153.06834677419354</v>
          </cell>
          <cell r="F22">
            <v>53.305309139784946</v>
          </cell>
          <cell r="G22">
            <v>197.82526881720429</v>
          </cell>
          <cell r="H22">
            <v>1042.0243951612902</v>
          </cell>
          <cell r="I22">
            <v>8.8196236559139791</v>
          </cell>
          <cell r="J22">
            <v>147.07748655913977</v>
          </cell>
          <cell r="K22">
            <v>22.668145161290319</v>
          </cell>
        </row>
        <row r="24">
          <cell r="B24">
            <v>64.24260000000001</v>
          </cell>
          <cell r="C24">
            <v>57.416350000000001</v>
          </cell>
          <cell r="D24">
            <v>27.305599999999998</v>
          </cell>
          <cell r="E24">
            <v>213.66885000000005</v>
          </cell>
          <cell r="F24">
            <v>341.36</v>
          </cell>
          <cell r="G24">
            <v>173.79095000000001</v>
          </cell>
          <cell r="H24">
            <v>3.1713999999999998</v>
          </cell>
          <cell r="I24">
            <v>11.23005</v>
          </cell>
          <cell r="J24">
            <v>264.63465000000002</v>
          </cell>
          <cell r="K24">
            <v>69.717650000000006</v>
          </cell>
        </row>
        <row r="25">
          <cell r="B25">
            <v>13.733750000000001</v>
          </cell>
          <cell r="C25">
            <v>0</v>
          </cell>
          <cell r="D25">
            <v>3.8183999999999996</v>
          </cell>
          <cell r="E25">
            <v>113.88285</v>
          </cell>
          <cell r="F25">
            <v>39.659150000000004</v>
          </cell>
          <cell r="G25">
            <v>147.18199999999999</v>
          </cell>
          <cell r="H25">
            <v>775.26614999999993</v>
          </cell>
          <cell r="I25">
            <v>6.5618000000000007</v>
          </cell>
          <cell r="J25">
            <v>109.42564999999998</v>
          </cell>
          <cell r="K25">
            <v>16.865099999999998</v>
          </cell>
        </row>
        <row r="27">
          <cell r="B27">
            <v>3.0053772767316898</v>
          </cell>
          <cell r="C27">
            <v>4.4670774451719035</v>
          </cell>
          <cell r="D27">
            <v>2.2193638723558249</v>
          </cell>
          <cell r="E27">
            <v>3.0847267196029469</v>
          </cell>
          <cell r="F27">
            <v>1.4935486757985652</v>
          </cell>
          <cell r="G27">
            <v>1.2309937371086646</v>
          </cell>
          <cell r="H27">
            <v>1.9789139402935554E-2</v>
          </cell>
          <cell r="I27">
            <v>0.43317557331971068</v>
          </cell>
          <cell r="J27">
            <v>0.70131018920962962</v>
          </cell>
          <cell r="K27">
            <v>5.407590067935323</v>
          </cell>
        </row>
        <row r="28">
          <cell r="B28">
            <v>1.9566423966590432E-2</v>
          </cell>
          <cell r="C28">
            <v>0</v>
          </cell>
          <cell r="D28">
            <v>2.4111682206338867</v>
          </cell>
          <cell r="E28">
            <v>1.9768360412199402</v>
          </cell>
          <cell r="F28">
            <v>2.986903950705369</v>
          </cell>
          <cell r="G28">
            <v>2.5939747461000793</v>
          </cell>
          <cell r="H28">
            <v>1.9117377299272278</v>
          </cell>
          <cell r="I28">
            <v>1.0487840228539786</v>
          </cell>
          <cell r="J28">
            <v>0.83116201010874946</v>
          </cell>
          <cell r="K28">
            <v>0.5517595320905827</v>
          </cell>
        </row>
        <row r="30">
          <cell r="B30">
            <v>0.53645766709174014</v>
          </cell>
        </row>
        <row r="31">
          <cell r="B31">
            <v>1.5638662335652376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183.06575013572575</v>
          </cell>
          <cell r="C38">
            <v>247.40453391781594</v>
          </cell>
          <cell r="D38">
            <v>59.171596660336533</v>
          </cell>
          <cell r="E38">
            <v>532.9017942460199</v>
          </cell>
          <cell r="F38">
            <v>365.48475186969995</v>
          </cell>
          <cell r="G38">
            <v>201.54247191421683</v>
          </cell>
          <cell r="H38">
            <v>0.64781726749449831</v>
          </cell>
          <cell r="I38">
            <v>7.1504288765152522</v>
          </cell>
          <cell r="J38">
            <v>138.71749776032129</v>
          </cell>
          <cell r="K38">
            <v>375.78037526692049</v>
          </cell>
        </row>
        <row r="39">
          <cell r="B39">
            <v>0.2853254208504083</v>
          </cell>
          <cell r="C39">
            <v>0</v>
          </cell>
          <cell r="D39">
            <v>8.3547595092159952</v>
          </cell>
          <cell r="E39">
            <v>213.70573979269329</v>
          </cell>
          <cell r="F39">
            <v>169.96426532869111</v>
          </cell>
          <cell r="G39">
            <v>381.20799058694377</v>
          </cell>
          <cell r="H39">
            <v>1479.7203983082843</v>
          </cell>
          <cell r="I39">
            <v>5.6653378480455174</v>
          </cell>
          <cell r="J39">
            <v>87.212796797517797</v>
          </cell>
          <cell r="K39">
            <v>9.1103734896014483</v>
          </cell>
        </row>
        <row r="41">
          <cell r="B41">
            <v>204.80880814228453</v>
          </cell>
          <cell r="C41">
            <v>294.34359277989597</v>
          </cell>
          <cell r="D41">
            <v>104.12643318250676</v>
          </cell>
          <cell r="E41">
            <v>426.40337668786952</v>
          </cell>
          <cell r="F41">
            <v>432.63701477947552</v>
          </cell>
          <cell r="G41">
            <v>242.18917838523697</v>
          </cell>
          <cell r="H41">
            <v>82.15312713842907</v>
          </cell>
          <cell r="I41">
            <v>139.47899344385243</v>
          </cell>
          <cell r="J41">
            <v>738.29986433500744</v>
          </cell>
          <cell r="K41">
            <v>136.68941357497536</v>
          </cell>
        </row>
        <row r="42">
          <cell r="B42">
            <v>45.211372812371003</v>
          </cell>
          <cell r="C42">
            <v>0</v>
          </cell>
          <cell r="D42">
            <v>0.14074796102087136</v>
          </cell>
          <cell r="E42">
            <v>226.29144399688983</v>
          </cell>
          <cell r="F42">
            <v>352.21395312356287</v>
          </cell>
          <cell r="G42">
            <v>461.62203482378675</v>
          </cell>
          <cell r="H42">
            <v>1695.340467821067</v>
          </cell>
          <cell r="I42">
            <v>2.9713458437739515</v>
          </cell>
          <cell r="J42">
            <v>248.57653782519449</v>
          </cell>
          <cell r="K42">
            <v>91.548729312908989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8">
        <row r="13">
          <cell r="H13">
            <v>672</v>
          </cell>
          <cell r="I13">
            <v>7.6712328767123292E-2</v>
          </cell>
        </row>
        <row r="21">
          <cell r="B21">
            <v>86.883035714285725</v>
          </cell>
          <cell r="C21">
            <v>77.182440476190479</v>
          </cell>
          <cell r="D21">
            <v>36.649702380952377</v>
          </cell>
          <cell r="E21">
            <v>289.43869047619052</v>
          </cell>
          <cell r="F21">
            <v>462.09910714285712</v>
          </cell>
          <cell r="G21">
            <v>233.14136904761904</v>
          </cell>
          <cell r="H21">
            <v>4.0154761904761909</v>
          </cell>
          <cell r="I21">
            <v>15.262797619047619</v>
          </cell>
          <cell r="J21">
            <v>353.48035714285714</v>
          </cell>
          <cell r="K21">
            <v>93.78660714285715</v>
          </cell>
        </row>
        <row r="22">
          <cell r="B22">
            <v>18.55</v>
          </cell>
          <cell r="C22">
            <v>0</v>
          </cell>
          <cell r="D22">
            <v>5.0630952380952392</v>
          </cell>
          <cell r="E22">
            <v>153.32053571428574</v>
          </cell>
          <cell r="F22">
            <v>52.666666666666679</v>
          </cell>
          <cell r="G22">
            <v>197.9892857142857</v>
          </cell>
          <cell r="H22">
            <v>1045.2440476190475</v>
          </cell>
          <cell r="I22">
            <v>8.8422619047619051</v>
          </cell>
          <cell r="J22">
            <v>147.33690476190475</v>
          </cell>
          <cell r="K22">
            <v>22.733630952380956</v>
          </cell>
        </row>
        <row r="24">
          <cell r="B24">
            <v>58.385400000000011</v>
          </cell>
          <cell r="C24">
            <v>51.866599999999998</v>
          </cell>
          <cell r="D24">
            <v>24.628599999999999</v>
          </cell>
          <cell r="E24">
            <v>194.50280000000001</v>
          </cell>
          <cell r="F24">
            <v>310.53059999999999</v>
          </cell>
          <cell r="G24">
            <v>156.67099999999999</v>
          </cell>
          <cell r="H24">
            <v>2.6983999999999999</v>
          </cell>
          <cell r="I24">
            <v>10.256600000000001</v>
          </cell>
          <cell r="J24">
            <v>237.53879999999998</v>
          </cell>
          <cell r="K24">
            <v>63.024600000000007</v>
          </cell>
        </row>
        <row r="25">
          <cell r="B25">
            <v>12.4656</v>
          </cell>
          <cell r="C25">
            <v>0</v>
          </cell>
          <cell r="D25">
            <v>3.4024000000000005</v>
          </cell>
          <cell r="E25">
            <v>103.0314</v>
          </cell>
          <cell r="F25">
            <v>35.39200000000001</v>
          </cell>
          <cell r="G25">
            <v>133.0488</v>
          </cell>
          <cell r="H25">
            <v>702.40399999999988</v>
          </cell>
          <cell r="I25">
            <v>5.9420000000000002</v>
          </cell>
          <cell r="J25">
            <v>99.01039999999999</v>
          </cell>
          <cell r="K25">
            <v>15.277000000000001</v>
          </cell>
        </row>
        <row r="27">
          <cell r="B27">
            <v>2.9968841327387148</v>
          </cell>
          <cell r="C27">
            <v>4.4524899704465453</v>
          </cell>
          <cell r="D27">
            <v>2.2230376307735282</v>
          </cell>
          <cell r="E27">
            <v>3.06632168536767</v>
          </cell>
          <cell r="F27">
            <v>1.4896654153435698</v>
          </cell>
          <cell r="G27">
            <v>1.2266160318424031</v>
          </cell>
          <cell r="H27">
            <v>1.752752347117149E-2</v>
          </cell>
          <cell r="I27">
            <v>0.43624234281984076</v>
          </cell>
          <cell r="J27">
            <v>0.70549650865393798</v>
          </cell>
          <cell r="K27">
            <v>5.3934894159611844</v>
          </cell>
        </row>
        <row r="28">
          <cell r="B28">
            <v>1.7330261227551526E-2</v>
          </cell>
          <cell r="C28">
            <v>0</v>
          </cell>
          <cell r="D28">
            <v>2.412797117805173</v>
          </cell>
          <cell r="E28">
            <v>1.9692676442704244</v>
          </cell>
          <cell r="F28">
            <v>2.9693012811500683</v>
          </cell>
          <cell r="G28">
            <v>2.5821279281416203</v>
          </cell>
          <cell r="H28">
            <v>1.905887720159436</v>
          </cell>
          <cell r="I28">
            <v>1.0337827753063942</v>
          </cell>
          <cell r="J28">
            <v>0.8496205110531414</v>
          </cell>
          <cell r="K28">
            <v>0.55108086994066008</v>
          </cell>
        </row>
        <row r="30">
          <cell r="B30">
            <v>0.48456499552634419</v>
          </cell>
        </row>
        <row r="31">
          <cell r="B31">
            <v>1.4125901836383838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165.89965243289112</v>
          </cell>
          <cell r="C38">
            <v>222.68986306445888</v>
          </cell>
          <cell r="D38">
            <v>53.495782992123765</v>
          </cell>
          <cell r="E38">
            <v>482.9730106403411</v>
          </cell>
          <cell r="F38">
            <v>331.36159207117896</v>
          </cell>
          <cell r="G38">
            <v>180.82967632652696</v>
          </cell>
          <cell r="H38">
            <v>0.51825381399559867</v>
          </cell>
          <cell r="I38">
            <v>6.5379643122641626</v>
          </cell>
          <cell r="J38">
            <v>124.23188081210129</v>
          </cell>
          <cell r="K38">
            <v>338.83717761147165</v>
          </cell>
        </row>
        <row r="39">
          <cell r="B39">
            <v>0.22826033668032666</v>
          </cell>
          <cell r="C39">
            <v>0</v>
          </cell>
          <cell r="D39">
            <v>7.5406789070076092</v>
          </cell>
          <cell r="E39">
            <v>192.60488673951144</v>
          </cell>
          <cell r="F39">
            <v>151.67394239616669</v>
          </cell>
          <cell r="G39">
            <v>343.22310537641681</v>
          </cell>
          <cell r="H39">
            <v>1338.1389756036956</v>
          </cell>
          <cell r="I39">
            <v>5.0657109333948132</v>
          </cell>
          <cell r="J39">
            <v>80.450599678315015</v>
          </cell>
          <cell r="K39">
            <v>8.2441081829518943</v>
          </cell>
        </row>
        <row r="41">
          <cell r="B41">
            <v>184.99722399204774</v>
          </cell>
          <cell r="C41">
            <v>265.87112174539453</v>
          </cell>
          <cell r="D41">
            <v>94.054065631663434</v>
          </cell>
          <cell r="E41">
            <v>385.15648669411456</v>
          </cell>
          <cell r="F41">
            <v>390.78713194213077</v>
          </cell>
          <cell r="G41">
            <v>218.76171288032336</v>
          </cell>
          <cell r="H41">
            <v>74.206283414904348</v>
          </cell>
          <cell r="I41">
            <v>125.98689883684951</v>
          </cell>
          <cell r="J41">
            <v>666.88257509313132</v>
          </cell>
          <cell r="K41">
            <v>123.46716086011253</v>
          </cell>
        </row>
        <row r="42">
          <cell r="B42">
            <v>40.837982208985665</v>
          </cell>
          <cell r="C42">
            <v>0</v>
          </cell>
          <cell r="D42">
            <v>0.12713311652745451</v>
          </cell>
          <cell r="E42">
            <v>204.40179957247409</v>
          </cell>
          <cell r="F42">
            <v>318.14356115903678</v>
          </cell>
          <cell r="G42">
            <v>416.96837040637809</v>
          </cell>
          <cell r="H42">
            <v>1531.3466403768628</v>
          </cell>
          <cell r="I42">
            <v>2.6839213489129286</v>
          </cell>
          <cell r="J42">
            <v>224.53120968932106</v>
          </cell>
          <cell r="K42">
            <v>82.693029350190983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9">
        <row r="13">
          <cell r="H13">
            <v>744</v>
          </cell>
          <cell r="I13">
            <v>8.4931506849315067E-2</v>
          </cell>
        </row>
        <row r="21">
          <cell r="B21">
            <v>87.510282258064521</v>
          </cell>
          <cell r="C21">
            <v>77.311760752688173</v>
          </cell>
          <cell r="D21">
            <v>36.719086021505376</v>
          </cell>
          <cell r="E21">
            <v>291.90712365591401</v>
          </cell>
          <cell r="F21">
            <v>465.71209677419358</v>
          </cell>
          <cell r="G21">
            <v>232.8049059139785</v>
          </cell>
          <cell r="H21">
            <v>3.8978494623655906</v>
          </cell>
          <cell r="I21">
            <v>15.458534946236556</v>
          </cell>
          <cell r="J21">
            <v>356.55907258064519</v>
          </cell>
          <cell r="K21">
            <v>93.851814516129053</v>
          </cell>
        </row>
        <row r="22">
          <cell r="B22">
            <v>18.688709677419354</v>
          </cell>
          <cell r="C22">
            <v>0</v>
          </cell>
          <cell r="D22">
            <v>5.1158602150537629</v>
          </cell>
          <cell r="E22">
            <v>154.20947580645159</v>
          </cell>
          <cell r="F22">
            <v>52.352956989247318</v>
          </cell>
          <cell r="G22">
            <v>199.04556451612902</v>
          </cell>
          <cell r="H22">
            <v>1052.0815188172041</v>
          </cell>
          <cell r="I22">
            <v>8.9010752688172055</v>
          </cell>
          <cell r="J22">
            <v>148.24139784946234</v>
          </cell>
          <cell r="K22">
            <v>22.900336021505378</v>
          </cell>
        </row>
        <row r="24">
          <cell r="B24">
            <v>65.107650000000007</v>
          </cell>
          <cell r="C24">
            <v>57.519949999999994</v>
          </cell>
          <cell r="D24">
            <v>27.318999999999999</v>
          </cell>
          <cell r="E24">
            <v>217.17890000000003</v>
          </cell>
          <cell r="F24">
            <v>346.48980000000006</v>
          </cell>
          <cell r="G24">
            <v>173.20685</v>
          </cell>
          <cell r="H24">
            <v>2.8999999999999995</v>
          </cell>
          <cell r="I24">
            <v>11.501149999999997</v>
          </cell>
          <cell r="J24">
            <v>265.27994999999999</v>
          </cell>
          <cell r="K24">
            <v>69.825750000000014</v>
          </cell>
        </row>
        <row r="25">
          <cell r="B25">
            <v>13.904399999999999</v>
          </cell>
          <cell r="C25">
            <v>0</v>
          </cell>
          <cell r="D25">
            <v>3.8062</v>
          </cell>
          <cell r="E25">
            <v>114.73184999999999</v>
          </cell>
          <cell r="F25">
            <v>38.950600000000009</v>
          </cell>
          <cell r="G25">
            <v>148.0899</v>
          </cell>
          <cell r="H25">
            <v>782.74864999999988</v>
          </cell>
          <cell r="I25">
            <v>6.6224000000000007</v>
          </cell>
          <cell r="J25">
            <v>110.29159999999999</v>
          </cell>
          <cell r="K25">
            <v>17.037850000000002</v>
          </cell>
        </row>
        <row r="27">
          <cell r="B27">
            <v>2.9811996233948679</v>
          </cell>
          <cell r="C27">
            <v>4.4385030003828581</v>
          </cell>
          <cell r="D27">
            <v>2.2141521005255118</v>
          </cell>
          <cell r="E27">
            <v>3.0471136902095286</v>
          </cell>
          <cell r="F27">
            <v>1.4862484333060153</v>
          </cell>
          <cell r="G27">
            <v>1.2222323964949238</v>
          </cell>
          <cell r="H27">
            <v>1.5831311522348443E-2</v>
          </cell>
          <cell r="I27">
            <v>0.43638757494099079</v>
          </cell>
          <cell r="J27">
            <v>0.69901855417112013</v>
          </cell>
          <cell r="K27">
            <v>5.3698528264572669</v>
          </cell>
        </row>
        <row r="28">
          <cell r="B28">
            <v>1.5653139173272344E-2</v>
          </cell>
          <cell r="C28">
            <v>0</v>
          </cell>
          <cell r="D28">
            <v>2.4557133599866821</v>
          </cell>
          <cell r="E28">
            <v>1.9613556422140066</v>
          </cell>
          <cell r="F28">
            <v>2.9490530217792714</v>
          </cell>
          <cell r="G28">
            <v>2.5707703157225348</v>
          </cell>
          <cell r="H28">
            <v>1.8926877489992844</v>
          </cell>
          <cell r="I28">
            <v>1.015784382901096</v>
          </cell>
          <cell r="J28">
            <v>0.83122480220203299</v>
          </cell>
          <cell r="K28">
            <v>0.55046800504786808</v>
          </cell>
        </row>
        <row r="30">
          <cell r="B30">
            <v>0.53006048486121249</v>
          </cell>
        </row>
        <row r="31">
          <cell r="B31">
            <v>1.5638610590403899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184.00870038132274</v>
          </cell>
          <cell r="C38">
            <v>246.05935948352129</v>
          </cell>
          <cell r="D38">
            <v>59.153953745537706</v>
          </cell>
          <cell r="E38">
            <v>535.96241098294308</v>
          </cell>
          <cell r="F38">
            <v>367.73993625025508</v>
          </cell>
          <cell r="G38">
            <v>198.94365319579907</v>
          </cell>
          <cell r="H38">
            <v>0.51825381399559867</v>
          </cell>
          <cell r="I38">
            <v>7.304484197625376</v>
          </cell>
          <cell r="J38">
            <v>138.40919178966627</v>
          </cell>
          <cell r="K38">
            <v>373.77634246031067</v>
          </cell>
        </row>
        <row r="39">
          <cell r="B39">
            <v>0.22826033668032666</v>
          </cell>
          <cell r="C39">
            <v>0</v>
          </cell>
          <cell r="D39">
            <v>8.544333854028844</v>
          </cell>
          <cell r="E39">
            <v>213.57071167917178</v>
          </cell>
          <cell r="F39">
            <v>166.66684656954081</v>
          </cell>
          <cell r="G39">
            <v>380.49049252226246</v>
          </cell>
          <cell r="H39">
            <v>1483.196193393188</v>
          </cell>
          <cell r="I39">
            <v>5.5540433803749618</v>
          </cell>
          <cell r="J39">
            <v>87.800782961974221</v>
          </cell>
          <cell r="K39">
            <v>9.185658808477692</v>
          </cell>
        </row>
        <row r="41">
          <cell r="B41">
            <v>202.3664919103137</v>
          </cell>
          <cell r="C41">
            <v>290.83358683365003</v>
          </cell>
          <cell r="D41">
            <v>102.88474011156138</v>
          </cell>
          <cell r="E41">
            <v>454.71238693819095</v>
          </cell>
          <cell r="F41">
            <v>427.47787922602186</v>
          </cell>
          <cell r="G41">
            <v>239.30110649544295</v>
          </cell>
          <cell r="H41">
            <v>81.173462651646062</v>
          </cell>
          <cell r="I41">
            <v>137.81572606391524</v>
          </cell>
          <cell r="J41">
            <v>729.4957422902437</v>
          </cell>
          <cell r="K41">
            <v>135.05941154263692</v>
          </cell>
        </row>
        <row r="42">
          <cell r="B42">
            <v>45.211223216857647</v>
          </cell>
          <cell r="C42">
            <v>0</v>
          </cell>
          <cell r="D42">
            <v>0.14074749531363501</v>
          </cell>
          <cell r="E42">
            <v>226.29069524314431</v>
          </cell>
          <cell r="F42">
            <v>352.21278771707654</v>
          </cell>
          <cell r="G42">
            <v>461.62050740754216</v>
          </cell>
          <cell r="H42">
            <v>1695.3348582739152</v>
          </cell>
          <cell r="I42">
            <v>2.9713360121767396</v>
          </cell>
          <cell r="J42">
            <v>248.57571533446986</v>
          </cell>
          <cell r="K42">
            <v>91.548426396224386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10">
        <row r="13">
          <cell r="H13">
            <v>720</v>
          </cell>
          <cell r="I13">
            <v>8.2191780821917804E-2</v>
          </cell>
        </row>
        <row r="21">
          <cell r="B21">
            <v>87.315138888888896</v>
          </cell>
          <cell r="C21">
            <v>77.271527777777777</v>
          </cell>
          <cell r="D21">
            <v>36.697499999999998</v>
          </cell>
          <cell r="E21">
            <v>291.13916666666671</v>
          </cell>
          <cell r="F21">
            <v>464.58805555555557</v>
          </cell>
          <cell r="G21">
            <v>232.90958333333336</v>
          </cell>
          <cell r="H21">
            <v>3.9344444444444453</v>
          </cell>
          <cell r="I21">
            <v>15.39763888888889</v>
          </cell>
          <cell r="J21">
            <v>355.60125000000005</v>
          </cell>
          <cell r="K21">
            <v>93.831527777777794</v>
          </cell>
        </row>
        <row r="22">
          <cell r="B22">
            <v>18.645555555555557</v>
          </cell>
          <cell r="C22">
            <v>0</v>
          </cell>
          <cell r="D22">
            <v>5.099444444444444</v>
          </cell>
          <cell r="E22">
            <v>153.93291666666667</v>
          </cell>
          <cell r="F22">
            <v>52.450555555555567</v>
          </cell>
          <cell r="G22">
            <v>198.71694444444441</v>
          </cell>
          <cell r="H22">
            <v>1049.9543055555553</v>
          </cell>
          <cell r="I22">
            <v>8.882777777777779</v>
          </cell>
          <cell r="J22">
            <v>147.95999999999998</v>
          </cell>
          <cell r="K22">
            <v>22.848472222222224</v>
          </cell>
        </row>
        <row r="24">
          <cell r="B24">
            <v>62.866900000000008</v>
          </cell>
          <cell r="C24">
            <v>55.6355</v>
          </cell>
          <cell r="D24">
            <v>26.422199999999997</v>
          </cell>
          <cell r="E24">
            <v>209.62020000000004</v>
          </cell>
          <cell r="F24">
            <v>334.5034</v>
          </cell>
          <cell r="G24">
            <v>167.69490000000002</v>
          </cell>
          <cell r="H24">
            <v>2.8328000000000007</v>
          </cell>
          <cell r="I24">
            <v>11.086300000000001</v>
          </cell>
          <cell r="J24">
            <v>256.03290000000004</v>
          </cell>
          <cell r="K24">
            <v>67.558700000000016</v>
          </cell>
        </row>
        <row r="25">
          <cell r="B25">
            <v>13.424800000000001</v>
          </cell>
          <cell r="C25">
            <v>0</v>
          </cell>
          <cell r="D25">
            <v>3.6715999999999993</v>
          </cell>
          <cell r="E25">
            <v>110.83170000000001</v>
          </cell>
          <cell r="F25">
            <v>37.764400000000009</v>
          </cell>
          <cell r="G25">
            <v>143.07619999999997</v>
          </cell>
          <cell r="H25">
            <v>755.96709999999985</v>
          </cell>
          <cell r="I25">
            <v>6.3956</v>
          </cell>
          <cell r="J25">
            <v>106.53119999999998</v>
          </cell>
          <cell r="K25">
            <v>16.450900000000001</v>
          </cell>
        </row>
        <row r="27">
          <cell r="B27">
            <v>2.9860792485240646</v>
          </cell>
          <cell r="C27">
            <v>4.4428545021804497</v>
          </cell>
          <cell r="D27">
            <v>2.2169164877137844</v>
          </cell>
          <cell r="E27">
            <v>3.0530895109253948</v>
          </cell>
          <cell r="F27">
            <v>1.4873114943843655</v>
          </cell>
          <cell r="G27">
            <v>1.2235961941585838</v>
          </cell>
          <cell r="H27">
            <v>1.635902190642673E-2</v>
          </cell>
          <cell r="I27">
            <v>0.43634239161441074</v>
          </cell>
          <cell r="J27">
            <v>0.70103391778799684</v>
          </cell>
          <cell r="K27">
            <v>5.3772064320807083</v>
          </cell>
        </row>
        <row r="28">
          <cell r="B28">
            <v>1.617491047904809E-2</v>
          </cell>
          <cell r="C28">
            <v>0</v>
          </cell>
          <cell r="D28">
            <v>2.4423616401968795</v>
          </cell>
          <cell r="E28">
            <v>1.9638171539648925</v>
          </cell>
          <cell r="F28">
            <v>2.9553524802501858</v>
          </cell>
          <cell r="G28">
            <v>2.5743037951418057</v>
          </cell>
          <cell r="H28">
            <v>1.8967944066935536</v>
          </cell>
          <cell r="I28">
            <v>1.0213838827605222</v>
          </cell>
          <cell r="J28">
            <v>0.83694791162237769</v>
          </cell>
          <cell r="K28">
            <v>0.55065867412562564</v>
          </cell>
        </row>
        <row r="30">
          <cell r="B30">
            <v>0.51296972668133334</v>
          </cell>
        </row>
        <row r="31">
          <cell r="B31">
            <v>1.5134374339063876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177.97235106517888</v>
          </cell>
          <cell r="C38">
            <v>238.2695273438338</v>
          </cell>
          <cell r="D38">
            <v>57.267896827733061</v>
          </cell>
          <cell r="E38">
            <v>518.29927753540915</v>
          </cell>
          <cell r="F38">
            <v>355.61382152389638</v>
          </cell>
          <cell r="G38">
            <v>192.9056609060417</v>
          </cell>
          <cell r="H38">
            <v>0.51825381399559878</v>
          </cell>
          <cell r="I38">
            <v>7.0489775691716385</v>
          </cell>
          <cell r="J38">
            <v>133.6834214638113</v>
          </cell>
          <cell r="K38">
            <v>362.12995417736437</v>
          </cell>
        </row>
        <row r="39">
          <cell r="B39">
            <v>0.22826033668032666</v>
          </cell>
          <cell r="C39">
            <v>0</v>
          </cell>
          <cell r="D39">
            <v>8.2097822050217655</v>
          </cell>
          <cell r="E39">
            <v>206.58210336595167</v>
          </cell>
          <cell r="F39">
            <v>161.6692118450828</v>
          </cell>
          <cell r="G39">
            <v>368.06803014031391</v>
          </cell>
          <cell r="H39">
            <v>1434.8437874633573</v>
          </cell>
          <cell r="I39">
            <v>5.3912658980482462</v>
          </cell>
          <cell r="J39">
            <v>85.350721867421143</v>
          </cell>
          <cell r="K39">
            <v>8.8718085999690945</v>
          </cell>
        </row>
        <row r="41">
          <cell r="B41">
            <v>195.84158225239943</v>
          </cell>
          <cell r="C41">
            <v>281.45622963551392</v>
          </cell>
          <cell r="D41">
            <v>99.567423948846837</v>
          </cell>
          <cell r="E41">
            <v>440.05108003358163</v>
          </cell>
          <cell r="F41">
            <v>413.69469547669473</v>
          </cell>
          <cell r="G41">
            <v>231.58531280755469</v>
          </cell>
          <cell r="H41">
            <v>78.556183943979377</v>
          </cell>
          <cell r="I41">
            <v>133.37212893714667</v>
          </cell>
          <cell r="J41">
            <v>705.974586345185</v>
          </cell>
          <cell r="K41">
            <v>130.70468635840373</v>
          </cell>
        </row>
        <row r="42">
          <cell r="B42">
            <v>43.753476214233658</v>
          </cell>
          <cell r="C42">
            <v>0</v>
          </cell>
          <cell r="D42">
            <v>0.13620936905157488</v>
          </cell>
          <cell r="E42">
            <v>218.99439668625425</v>
          </cell>
          <cell r="F42">
            <v>340.85637886439667</v>
          </cell>
          <cell r="G42">
            <v>446.73646174048747</v>
          </cell>
          <cell r="H42">
            <v>1640.672118974898</v>
          </cell>
          <cell r="I42">
            <v>2.8755311244221362</v>
          </cell>
          <cell r="J42">
            <v>240.56088011942029</v>
          </cell>
          <cell r="K42">
            <v>88.596627380879937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11">
        <row r="13">
          <cell r="H13">
            <v>744</v>
          </cell>
          <cell r="I13">
            <v>8.4931506849315067E-2</v>
          </cell>
        </row>
        <row r="21">
          <cell r="B21">
            <v>172.25</v>
          </cell>
          <cell r="C21">
            <v>200.87284946236559</v>
          </cell>
          <cell r="D21">
            <v>99.679032258064538</v>
          </cell>
          <cell r="E21">
            <v>452.67331989247322</v>
          </cell>
          <cell r="F21">
            <v>260.72251344086021</v>
          </cell>
          <cell r="G21">
            <v>159.19999999999999</v>
          </cell>
          <cell r="H21">
            <v>0</v>
          </cell>
          <cell r="I21">
            <v>50.200873655913973</v>
          </cell>
          <cell r="J21">
            <v>25.378763440860215</v>
          </cell>
          <cell r="K21">
            <v>144.34784946236559</v>
          </cell>
        </row>
        <row r="22">
          <cell r="B22">
            <v>5.9772849462365585</v>
          </cell>
          <cell r="C22">
            <v>0</v>
          </cell>
          <cell r="D22">
            <v>7.4193548387096783E-2</v>
          </cell>
          <cell r="E22">
            <v>148.98958333333334</v>
          </cell>
          <cell r="F22">
            <v>44.89038978494623</v>
          </cell>
          <cell r="G22">
            <v>188.55638440860216</v>
          </cell>
          <cell r="H22">
            <v>1038.453629032258</v>
          </cell>
          <cell r="I22">
            <v>0</v>
          </cell>
          <cell r="J22">
            <v>132.86969086021503</v>
          </cell>
          <cell r="K22">
            <v>5.3037634408602159</v>
          </cell>
        </row>
        <row r="24">
          <cell r="B24">
            <v>128.154</v>
          </cell>
          <cell r="C24">
            <v>149.4494</v>
          </cell>
          <cell r="D24">
            <v>74.161200000000008</v>
          </cell>
          <cell r="E24">
            <v>336.78895000000006</v>
          </cell>
          <cell r="F24">
            <v>193.97754999999998</v>
          </cell>
          <cell r="G24">
            <v>118.44479999999999</v>
          </cell>
          <cell r="H24">
            <v>0</v>
          </cell>
          <cell r="I24">
            <v>37.349449999999997</v>
          </cell>
          <cell r="J24">
            <v>18.881799999999998</v>
          </cell>
          <cell r="K24">
            <v>107.39479999999999</v>
          </cell>
        </row>
        <row r="25">
          <cell r="B25">
            <v>4.4470999999999998</v>
          </cell>
          <cell r="C25">
            <v>0</v>
          </cell>
          <cell r="D25">
            <v>5.5200000000000006E-2</v>
          </cell>
          <cell r="E25">
            <v>110.84824999999999</v>
          </cell>
          <cell r="F25">
            <v>33.398449999999997</v>
          </cell>
          <cell r="G25">
            <v>140.28595000000001</v>
          </cell>
          <cell r="H25">
            <v>772.60950000000003</v>
          </cell>
          <cell r="I25">
            <v>0</v>
          </cell>
          <cell r="J25">
            <v>98.855049999999991</v>
          </cell>
          <cell r="K25">
            <v>3.9460000000000006</v>
          </cell>
        </row>
        <row r="27">
          <cell r="B27">
            <v>2.4087200668776063</v>
          </cell>
          <cell r="C27">
            <v>2.3803918836449518</v>
          </cell>
          <cell r="D27">
            <v>2.5871986363120589</v>
          </cell>
          <cell r="E27">
            <v>1.8068295321545462</v>
          </cell>
          <cell r="F27">
            <v>0.58940400312111696</v>
          </cell>
          <cell r="G27">
            <v>0.79412654355040835</v>
          </cell>
          <cell r="H27">
            <v>0</v>
          </cell>
          <cell r="I27">
            <v>0.37819945278674949</v>
          </cell>
          <cell r="J27">
            <v>1.1530792208331022</v>
          </cell>
          <cell r="K27">
            <v>3.5839524052525311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1.0860440504191122</v>
          </cell>
          <cell r="F28">
            <v>1.3184667612833738</v>
          </cell>
          <cell r="G28">
            <v>1.863559946545553</v>
          </cell>
          <cell r="H28">
            <v>2.1907867313098075</v>
          </cell>
          <cell r="I28">
            <v>0</v>
          </cell>
          <cell r="J28">
            <v>2.7112950863724965</v>
          </cell>
          <cell r="K28">
            <v>0.78793461061047187</v>
          </cell>
        </row>
        <row r="30">
          <cell r="B30">
            <v>0.53422093860645647</v>
          </cell>
        </row>
        <row r="31">
          <cell r="B31">
            <v>1.5761358310446252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304.97237706290554</v>
          </cell>
          <cell r="C38">
            <v>338.65795362593809</v>
          </cell>
          <cell r="D38">
            <v>182.0245521329561</v>
          </cell>
          <cell r="E38">
            <v>598.8994532338462</v>
          </cell>
          <cell r="F38">
            <v>164.90129304108598</v>
          </cell>
          <cell r="G38">
            <v>94.060159625519418</v>
          </cell>
          <cell r="H38">
            <v>0</v>
          </cell>
          <cell r="I38">
            <v>17.550656527411221</v>
          </cell>
          <cell r="J38">
            <v>21.397893363273873</v>
          </cell>
          <cell r="K38">
            <v>367.42590505768607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118.330745419482</v>
          </cell>
          <cell r="F39">
            <v>41.99802655445577</v>
          </cell>
          <cell r="G39">
            <v>258.83503859791506</v>
          </cell>
          <cell r="H39">
            <v>1646.4552409499574</v>
          </cell>
          <cell r="I39">
            <v>0</v>
          </cell>
          <cell r="J39">
            <v>262.33734534287555</v>
          </cell>
          <cell r="K39">
            <v>2.7613330762323605</v>
          </cell>
        </row>
        <row r="41">
          <cell r="B41">
            <v>203.95486994117292</v>
          </cell>
          <cell r="C41">
            <v>293.11634459459054</v>
          </cell>
          <cell r="D41">
            <v>103.69228418351324</v>
          </cell>
          <cell r="E41">
            <v>458.28143218354853</v>
          </cell>
          <cell r="F41">
            <v>430.83316035794883</v>
          </cell>
          <cell r="G41">
            <v>241.1793849432708</v>
          </cell>
          <cell r="H41">
            <v>81.810594538192746</v>
          </cell>
          <cell r="I41">
            <v>138.8974440376787</v>
          </cell>
          <cell r="J41">
            <v>735.22156675713563</v>
          </cell>
          <cell r="K41">
            <v>136.1194951569251</v>
          </cell>
        </row>
        <row r="42">
          <cell r="B42">
            <v>45.566086875500112</v>
          </cell>
          <cell r="C42">
            <v>0</v>
          </cell>
          <cell r="D42">
            <v>0.14185222479401624</v>
          </cell>
          <cell r="E42">
            <v>228.06685475215721</v>
          </cell>
          <cell r="F42">
            <v>354.97731186787047</v>
          </cell>
          <cell r="G42">
            <v>465.24377460775241</v>
          </cell>
          <cell r="H42">
            <v>1708.6415703605467</v>
          </cell>
          <cell r="I42">
            <v>2.994658078984787</v>
          </cell>
          <cell r="J42">
            <v>250.52679034454312</v>
          </cell>
          <cell r="K42">
            <v>92.266991549352355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  <sheetData sheetId="12">
        <row r="13">
          <cell r="H13">
            <v>720</v>
          </cell>
          <cell r="I13">
            <v>8.2191780821917804E-2</v>
          </cell>
        </row>
        <row r="21">
          <cell r="B21">
            <v>172.14666666666665</v>
          </cell>
          <cell r="C21">
            <v>200.48166666666665</v>
          </cell>
          <cell r="D21">
            <v>99.611944444444447</v>
          </cell>
          <cell r="E21">
            <v>451.85930555555564</v>
          </cell>
          <cell r="F21">
            <v>259.70680555555555</v>
          </cell>
          <cell r="G21">
            <v>159.19999999999999</v>
          </cell>
          <cell r="H21">
            <v>0</v>
          </cell>
          <cell r="I21">
            <v>49.942638888888887</v>
          </cell>
          <cell r="J21">
            <v>25.346388888888885</v>
          </cell>
          <cell r="K21">
            <v>144.27500000000001</v>
          </cell>
        </row>
        <row r="22">
          <cell r="B22">
            <v>6.0044444444444443</v>
          </cell>
          <cell r="C22">
            <v>0</v>
          </cell>
          <cell r="D22">
            <v>7.3333333333333348E-2</v>
          </cell>
          <cell r="E22">
            <v>148.70930555555555</v>
          </cell>
          <cell r="F22">
            <v>44.935416666666669</v>
          </cell>
          <cell r="G22">
            <v>188.25013888888893</v>
          </cell>
          <cell r="H22">
            <v>1036.4288888888889</v>
          </cell>
          <cell r="I22">
            <v>0</v>
          </cell>
          <cell r="J22">
            <v>132.65624999999997</v>
          </cell>
          <cell r="K22">
            <v>5.3033333333333337</v>
          </cell>
        </row>
        <row r="24">
          <cell r="B24">
            <v>123.94559999999998</v>
          </cell>
          <cell r="C24">
            <v>144.3468</v>
          </cell>
          <cell r="D24">
            <v>71.720600000000005</v>
          </cell>
          <cell r="E24">
            <v>325.33870000000007</v>
          </cell>
          <cell r="F24">
            <v>186.9889</v>
          </cell>
          <cell r="G24">
            <v>114.62399999999998</v>
          </cell>
          <cell r="H24">
            <v>0</v>
          </cell>
          <cell r="I24">
            <v>35.9587</v>
          </cell>
          <cell r="J24">
            <v>18.249399999999998</v>
          </cell>
          <cell r="K24">
            <v>103.878</v>
          </cell>
        </row>
        <row r="25">
          <cell r="B25">
            <v>4.3231999999999999</v>
          </cell>
          <cell r="C25">
            <v>0</v>
          </cell>
          <cell r="D25">
            <v>5.2800000000000014E-2</v>
          </cell>
          <cell r="E25">
            <v>107.0707</v>
          </cell>
          <cell r="F25">
            <v>32.353499999999997</v>
          </cell>
          <cell r="G25">
            <v>135.54010000000002</v>
          </cell>
          <cell r="H25">
            <v>746.22880000000009</v>
          </cell>
          <cell r="I25">
            <v>0</v>
          </cell>
          <cell r="J25">
            <v>95.512499999999989</v>
          </cell>
          <cell r="K25">
            <v>3.8184000000000005</v>
          </cell>
        </row>
        <row r="27">
          <cell r="B27">
            <v>2.412245779599397</v>
          </cell>
          <cell r="C27">
            <v>2.3840236577751273</v>
          </cell>
          <cell r="D27">
            <v>2.5908366922484358</v>
          </cell>
          <cell r="E27">
            <v>1.8103498708400507</v>
          </cell>
          <cell r="F27">
            <v>0.5896463767305623</v>
          </cell>
          <cell r="G27">
            <v>0.79557523431998922</v>
          </cell>
          <cell r="H27">
            <v>0</v>
          </cell>
          <cell r="I27">
            <v>0.37942109018211345</v>
          </cell>
          <cell r="J27">
            <v>1.1548456978660431</v>
          </cell>
          <cell r="K27">
            <v>3.5881746837473725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1.088262079970495</v>
          </cell>
          <cell r="F28">
            <v>1.3208429505522765</v>
          </cell>
          <cell r="G28">
            <v>1.8674047369552937</v>
          </cell>
          <cell r="H28">
            <v>2.195339510835181</v>
          </cell>
          <cell r="I28">
            <v>0</v>
          </cell>
          <cell r="J28">
            <v>2.7168216804407463</v>
          </cell>
          <cell r="K28">
            <v>0.78822249805126432</v>
          </cell>
        </row>
        <row r="30">
          <cell r="B30">
            <v>0.51699663144952179</v>
          </cell>
        </row>
        <row r="31">
          <cell r="B31">
            <v>1.5253181904149267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I34">
            <v>0</v>
          </cell>
        </row>
        <row r="38">
          <cell r="B38">
            <v>295.34664653271079</v>
          </cell>
          <cell r="C38">
            <v>327.43616155573523</v>
          </cell>
          <cell r="D38">
            <v>176.28704520050692</v>
          </cell>
          <cell r="E38">
            <v>579.54589208119091</v>
          </cell>
          <cell r="F38">
            <v>159.19962995334612</v>
          </cell>
          <cell r="G38">
            <v>91.192015658694459</v>
          </cell>
          <cell r="H38">
            <v>0</v>
          </cell>
          <cell r="I38">
            <v>16.911057765154137</v>
          </cell>
          <cell r="J38">
            <v>20.710372138693838</v>
          </cell>
          <cell r="K38">
            <v>355.80002228576791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114.48314917291074</v>
          </cell>
          <cell r="F39">
            <v>40.753608738914025</v>
          </cell>
          <cell r="G39">
            <v>250.5301812663167</v>
          </cell>
          <cell r="H39">
            <v>1593.1128736372007</v>
          </cell>
          <cell r="I39">
            <v>0</v>
          </cell>
          <cell r="J39">
            <v>253.93198055930802</v>
          </cell>
          <cell r="K39">
            <v>2.6706543759987644</v>
          </cell>
        </row>
        <row r="41">
          <cell r="B41">
            <v>197.3789739547984</v>
          </cell>
          <cell r="C41">
            <v>283.66571174372365</v>
          </cell>
          <cell r="D41">
            <v>100.34904616435222</v>
          </cell>
          <cell r="E41">
            <v>443.50556028897216</v>
          </cell>
          <cell r="F41">
            <v>416.94227336509573</v>
          </cell>
          <cell r="G41">
            <v>233.40329923420109</v>
          </cell>
          <cell r="H41">
            <v>79.172864140179769</v>
          </cell>
          <cell r="I41">
            <v>134.4191241768757</v>
          </cell>
          <cell r="J41">
            <v>711.51661403240428</v>
          </cell>
          <cell r="K41">
            <v>131.73074169333816</v>
          </cell>
        </row>
        <row r="42">
          <cell r="B42">
            <v>44.096948884895532</v>
          </cell>
          <cell r="C42">
            <v>0</v>
          </cell>
          <cell r="D42">
            <v>0.1372786371373434</v>
          </cell>
          <cell r="E42">
            <v>220.7135421530399</v>
          </cell>
          <cell r="F42">
            <v>343.53216284524979</v>
          </cell>
          <cell r="G42">
            <v>450.24342344667804</v>
          </cell>
          <cell r="H42">
            <v>1653.5516906831099</v>
          </cell>
          <cell r="I42">
            <v>2.8981045617883603</v>
          </cell>
          <cell r="J42">
            <v>242.4493263664526</v>
          </cell>
          <cell r="K42">
            <v>89.292126866889816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1-2012 Contraloría Historico"/>
      <sheetName val="2001-2012 Contraloría Var Hist "/>
      <sheetName val="Variacion PIB por Act 2001-09"/>
      <sheetName val="2001-12Contraloría Estruc. Hist"/>
      <sheetName val="Evalua Estimado 2006"/>
      <sheetName val="Variacion PIB- Esc. Exp. Canal"/>
      <sheetName val="PIB 2011 Estimado "/>
      <sheetName val="IMAE 2005 - 13"/>
      <sheetName val="Pronosticos Publicados 2013 "/>
      <sheetName val="Pronosticos Publicados 2014-17 "/>
      <sheetName val="PIB Mundial vs Panama  2001-13"/>
      <sheetName val="PIB 2013, tres metodologías (M)"/>
      <sheetName val="Var.  Estructural 2012  Mod"/>
      <sheetName val="TC Estimadas a 2013 "/>
      <sheetName val="PIB 2012 Historico Estimado "/>
      <sheetName val="PIB Estructural II TRIM 2005-12"/>
      <sheetName val="VALIDAR PIB Estruc II Trim 2011"/>
      <sheetName val="AjustPonderadoXActiv.2012 "/>
      <sheetName val="PIB Estructural II TRIM 2005-13"/>
      <sheetName val="VALIDAR PIBEstruc IITrim E 2012"/>
      <sheetName val="Estimado de Impuestos Netos"/>
      <sheetName val="PIB Estruc. Est. II Trim 2012 V"/>
      <sheetName val="PIB Estruc. Est. II Trim 201"/>
      <sheetName val="PIB Estruc. Est. II Trim 2012"/>
      <sheetName val="PIB Pre Est Estruc II Trim 2013"/>
      <sheetName val="PIBMOD; 2014 Tres Metodologias "/>
      <sheetName val="PIBOPT; 2014 Tres Metodologias "/>
      <sheetName val="PIBPES; 2014 Tres Metodologias"/>
      <sheetName val="PIB Estructural 2013-14 Est. 2T"/>
      <sheetName val="PIB Estruc. III TRIM 2005 -13"/>
      <sheetName val="PIB Estructural III Trim2011"/>
      <sheetName val="PIB Estructural III Trim2011Mod"/>
      <sheetName val="PIB Estructural E III Trim2013"/>
      <sheetName val="PIBMOD; 2014 Tres Metodolog III"/>
      <sheetName val="PIBOPT; 2014 Tres Metodolog III"/>
      <sheetName val="PIBPES; 2014 Tres Metodolog III"/>
      <sheetName val="PIB Estructural 2013-14 Est 3T"/>
      <sheetName val="PIB Estructural 2012 Est. 3T"/>
      <sheetName val="Analisis IMAE 2008"/>
      <sheetName val="Analisis IMAE 2008 Anexo"/>
      <sheetName val="PIB Estructural III Trim 2008 "/>
      <sheetName val="Tasas PIB INTRACORP"/>
      <sheetName val="Empalme de Bases 96-82 (2)"/>
      <sheetName val="Tasas PIB INTRACORP2005-21"/>
      <sheetName val="Tasas PIB INTRACORP2005-24"/>
      <sheetName val="Comp.Tasas PIB INTRACORP- Real "/>
      <sheetName val="Gráfico TASAS 2009-2024"/>
      <sheetName val="Premisas Escenarios"/>
      <sheetName val="Estimacion PIB 2012-2026"/>
      <sheetName val="Pronosticos 2012-2026 "/>
      <sheetName val="Estimacion PIB 2013-2027"/>
      <sheetName val="Estimacion PIB 2T 2014-2028"/>
      <sheetName val="Estimacion PIB 3T 2014-2028"/>
      <sheetName val="Pronosticos 2014-28"/>
      <sheetName val="Pronosticos 2011-25 mOD +,-5%"/>
      <sheetName val="Estimacion PIB 2010-2024 (2)"/>
      <sheetName val="Pronosticos 2010-24 % (2)"/>
      <sheetName val="Estimacion PIB 2010-2024 (3)"/>
      <sheetName val="Empalme de Bases PIB96-82 13-27"/>
      <sheetName val="Empalme de Bases 96-82"/>
      <sheetName val="Empalme de Bases 96-82 3T"/>
      <sheetName val="Comp. Hist. Manuf. 1982=1"/>
      <sheetName val="Pronosticos 2010-24 % (3)"/>
      <sheetName val="Tasas PIB INTRACORP (3)"/>
      <sheetName val="Empalme de Bases 96-82 11-26"/>
      <sheetName val="Mat.  Cons.  2002-2006"/>
      <sheetName val="Produccion fisica Man 2002-06"/>
      <sheetName val="Carac.Consumo ELec. Sector Ind."/>
      <sheetName val="industria-Algunos indicadores"/>
      <sheetName val="Impacto Sector Sec al PIB "/>
      <sheetName val="PIB MANUFACTURA 1986-2010"/>
      <sheetName val="Est. PIB MANUFACTURA ACP1996Mod"/>
      <sheetName val="Est. PIB MANUFACTURA ACP19963T"/>
      <sheetName val="Impacto Man al PIB 2013-27"/>
      <sheetName val="Est. PIB MANUF. EMPALM2014-28 2"/>
      <sheetName val="Est. PIBMANUF.EMPALM2014- 28 3T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1-2012 Contraloría Historico"/>
      <sheetName val="2001-2012 Contraloría Var Hist "/>
      <sheetName val="Variacion PIB por Act 2001-09"/>
      <sheetName val="2001-12Contraloría Estruc. Hist"/>
      <sheetName val="Evalua Estimado 2006"/>
      <sheetName val="Variacion PIB- Esc. Exp. Canal"/>
      <sheetName val="PIB 2011 Estimado "/>
      <sheetName val="IMAE 2005 - 13"/>
      <sheetName val="Pronosticos Publicados 2013 "/>
      <sheetName val="Pronosticos Publicados 2014-17 "/>
      <sheetName val="PIB Mundial vs Panama  2001-13"/>
      <sheetName val="PIB 2013, tres metodologías (M)"/>
      <sheetName val="Var.  Estructural 2012  Mod"/>
      <sheetName val="TC Estimadas a 2013 "/>
      <sheetName val="PIB 2012 Historico Estimado "/>
      <sheetName val="PIB Estructural II TRIM 2005-12"/>
      <sheetName val="VALIDAR PIB Estruc II Trim 2011"/>
      <sheetName val="AjustPonderadoXActiv.2012 "/>
      <sheetName val="PIB Estructural II TRIM 2005-13"/>
      <sheetName val="VALIDAR PIBEstruc IITrim E 2012"/>
      <sheetName val="Estimado de Impuestos Netos"/>
      <sheetName val="PIB Estruc. Est. II Trim 2012 V"/>
      <sheetName val="PIB Estruc. Est. II Trim 201"/>
      <sheetName val="PIB Estruc. Est. II Trim 2012"/>
      <sheetName val="PIB Pre Est Estruc II Trim 2013"/>
      <sheetName val="PIBMOD; 2014 Tres Metodologias "/>
      <sheetName val="PIBOPT; 2014 Tres Metodologias "/>
      <sheetName val="PIBPES; 2014 Tres Metodologias"/>
      <sheetName val="PIB Estructural 2013-14 Est. 2T"/>
      <sheetName val="PIB Estruc. III TRIM 2005 -13"/>
      <sheetName val="PIB Estructural III Trim2011"/>
      <sheetName val="PIB Estructural III Trim2011Mod"/>
      <sheetName val="PIB Estructural E III Trim2013"/>
      <sheetName val="PIBMOD; 2014 Tres Metodolog III"/>
      <sheetName val="PIBOPT; 2014 Tres Metodolog III"/>
      <sheetName val="PIBPES; 2014 Tres Metodolog III"/>
      <sheetName val="PIB Estructural 2013-14 Est 3T"/>
      <sheetName val="PIB Estructural 2012 Est. 3T"/>
      <sheetName val="Analisis IMAE 2008"/>
      <sheetName val="Analisis IMAE 2008 Anexo"/>
      <sheetName val="PIB Estructural III Trim 2008 "/>
      <sheetName val="Tasas PIB INTRACORP"/>
      <sheetName val="Empalme de Bases 96-82 (2)"/>
      <sheetName val="Tasas PIB INTRACORP2005-21"/>
      <sheetName val="Tasas PIB INTRACORP2005-24"/>
      <sheetName val="Comp.Tasas PIB INTRACORP- Real "/>
      <sheetName val="Gráfico TASAS 2009-2024"/>
      <sheetName val="Premisas Escenarios"/>
      <sheetName val="Estimacion PIB 2012-2026"/>
      <sheetName val="Pronosticos 2012-2026 "/>
      <sheetName val="Estimacion PIB 2013-2027"/>
      <sheetName val="Estimacion PIB 2T 2014-2028"/>
      <sheetName val="Estimacion PIB 3T 2014-2028"/>
      <sheetName val="Pronosticos 2014-28"/>
      <sheetName val="Pronosticos 2011-25 mOD +,-5%"/>
      <sheetName val="Estimacion PIB 2010-2024 (2)"/>
      <sheetName val="Pronosticos 2010-24 % (2)"/>
      <sheetName val="Estimacion PIB 2010-2024 (3)"/>
      <sheetName val="Empalme de Bases PIB96-82 13-27"/>
      <sheetName val="Empalme de Bases 96-82"/>
      <sheetName val="Empalme de Bases 96-82 3T"/>
      <sheetName val="Comp. Hist. Manuf. 1982=1"/>
      <sheetName val="Pronosticos 2010-24 % (3)"/>
      <sheetName val="Tasas PIB INTRACORP (3)"/>
      <sheetName val="Empalme de Bases 96-82 11-26"/>
      <sheetName val="Mat.  Cons.  2002-2006"/>
      <sheetName val="Produccion fisica Man 2002-06"/>
      <sheetName val="Carac.Consumo ELec. Sector Ind."/>
      <sheetName val="industria-Algunos indicadores"/>
      <sheetName val="Impacto Sector Sec al PIB "/>
      <sheetName val="PIB MANUFACTURA 1986-2010"/>
      <sheetName val="Est. PIB MANUFACTURA ACP1996Mod"/>
      <sheetName val="Est. PIB MANUFACTURA ACP19963T"/>
      <sheetName val="Impacto Man al PIB 2013-27"/>
      <sheetName val="Est. PIB MANUF. EMPALM2014-28 2"/>
      <sheetName val="Est. PIBMANUF.EMPALM2014- 28 3T"/>
      <sheetName val="Hoja3"/>
      <sheetName val="Hoja1"/>
    </sheetNames>
    <sheetDataSet>
      <sheetData sheetId="0">
        <row r="43">
          <cell r="H43">
            <v>14041.199999999999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9">
          <cell r="AB69">
            <v>6.25</v>
          </cell>
        </row>
      </sheetData>
      <sheetData sheetId="10"/>
      <sheetData sheetId="11">
        <row r="8">
          <cell r="G8">
            <v>2004</v>
          </cell>
        </row>
      </sheetData>
      <sheetData sheetId="12"/>
      <sheetData sheetId="13"/>
      <sheetData sheetId="14"/>
      <sheetData sheetId="15">
        <row r="45">
          <cell r="M45">
            <v>8.5277611600148129E-2</v>
          </cell>
        </row>
      </sheetData>
      <sheetData sheetId="16">
        <row r="14">
          <cell r="K14">
            <v>2.9381495383871546E-2</v>
          </cell>
        </row>
      </sheetData>
      <sheetData sheetId="17"/>
      <sheetData sheetId="18">
        <row r="13">
          <cell r="AK13">
            <v>730.29380429282003</v>
          </cell>
        </row>
      </sheetData>
      <sheetData sheetId="19"/>
      <sheetData sheetId="20">
        <row r="27">
          <cell r="N27">
            <v>0.30833039181080124</v>
          </cell>
        </row>
      </sheetData>
      <sheetData sheetId="21"/>
      <sheetData sheetId="22"/>
      <sheetData sheetId="23"/>
      <sheetData sheetId="24"/>
      <sheetData sheetId="25">
        <row r="15">
          <cell r="R15">
            <v>2.6338961472462064E-2</v>
          </cell>
        </row>
      </sheetData>
      <sheetData sheetId="26"/>
      <sheetData sheetId="27"/>
      <sheetData sheetId="28">
        <row r="42">
          <cell r="G42">
            <v>27697.120686863906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9">
          <cell r="F19">
            <v>2.3443464982300322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 Existente"/>
      <sheetName val="IMPA Indicativo"/>
      <sheetName val="Activos Reconocidos"/>
      <sheetName val="Tasa de Depreciación"/>
      <sheetName val="OMT%_ADMT%"/>
      <sheetName val="Base de Capital"/>
      <sheetName val="Plan de Expansión"/>
      <sheetName val="Tercera Línea"/>
      <sheetName val="VNR"/>
      <sheetName val="CND_HID"/>
      <sheetName val="GEN_OBL"/>
      <sheetName val="Anexo Activos_Depreciaciones"/>
      <sheetName val="Bienes e Instalaciones 31_12_16"/>
      <sheetName val="Conso Altas 2013_2016"/>
      <sheetName val="IMP RevTar_2013_2017"/>
      <sheetName val="Cuadro Informe"/>
    </sheetNames>
    <sheetDataSet>
      <sheetData sheetId="0"/>
      <sheetData sheetId="1"/>
      <sheetData sheetId="2">
        <row r="58">
          <cell r="C58">
            <v>204259966.1240339</v>
          </cell>
        </row>
      </sheetData>
      <sheetData sheetId="3"/>
      <sheetData sheetId="4">
        <row r="13">
          <cell r="G13">
            <v>9.300000000000001E-3</v>
          </cell>
        </row>
      </sheetData>
      <sheetData sheetId="5"/>
      <sheetData sheetId="6"/>
      <sheetData sheetId="7"/>
      <sheetData sheetId="8">
        <row r="32">
          <cell r="F32">
            <v>347773847.60483652</v>
          </cell>
        </row>
        <row r="38">
          <cell r="F38">
            <v>36672308.815588608</v>
          </cell>
        </row>
        <row r="48">
          <cell r="G48">
            <v>67037095.958703928</v>
          </cell>
        </row>
        <row r="59">
          <cell r="Q59">
            <v>368338574.5715453</v>
          </cell>
        </row>
        <row r="69">
          <cell r="Q69">
            <v>6933848.1310749892</v>
          </cell>
        </row>
      </sheetData>
      <sheetData sheetId="9">
        <row r="9">
          <cell r="D9">
            <v>2017</v>
          </cell>
        </row>
      </sheetData>
      <sheetData sheetId="10">
        <row r="9">
          <cell r="F9">
            <v>40000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 Base capital completa"/>
      <sheetName val="IMP O&amp;M promedio anterior"/>
      <sheetName val="IMP tasa 12.24%"/>
      <sheetName val="Graficas"/>
      <sheetName val="IMP"/>
      <sheetName val="Hidrometeorología"/>
      <sheetName val="Activos"/>
      <sheetName val="Hoja1"/>
      <sheetName val="Bienes 2004"/>
      <sheetName val="VNR"/>
      <sheetName val="VNR Líneas"/>
      <sheetName val="Compara Valor libros-vs-VNR"/>
      <sheetName val="VNR SE"/>
      <sheetName val="Inversión-Resumen"/>
      <sheetName val="Inversiones"/>
      <sheetName val="Retiros"/>
      <sheetName val="CND"/>
      <sheetName val="Informática"/>
      <sheetName val="Hoja2"/>
      <sheetName val="RRT"/>
      <sheetName val="#¡REF"/>
      <sheetName val="IMP-Ajuste-Fechas"/>
      <sheetName val="IMP-APROBADO"/>
      <sheetName val="Resumen Anual"/>
      <sheetName val="Resumen Anual (original)"/>
      <sheetName val="Justificacion"/>
      <sheetName val="Cuadro Resumen feb"/>
      <sheetName val="Liq Estamp.-Febrero2014"/>
      <sheetName val="Feb Estampilla Generación Final"/>
      <sheetName val="Estampilla Demanda Final"/>
      <sheetName val="AP Febrero Estampilla Postal"/>
      <sheetName val="ANALISIS 96 339"/>
      <sheetName val="Cap.Act. Año 1"/>
      <sheetName val="ESTAMP.-FEB 904"/>
      <sheetName val="Cargos Act. Año 1 (08)"/>
      <sheetName val="Cambio a SE"/>
      <sheetName val="Facturacion"/>
      <sheetName val="SEG ELEC GENERACION"/>
      <sheetName val="SEG ELECT DEMANDA"/>
      <sheetName val="LIQ SEG ELEC FEBRERO2014"/>
      <sheetName val=" LIQ DE ENERO 585"/>
      <sheetName val="SE Ajuste Parcial"/>
      <sheetName val="Balance Enero"/>
      <sheetName val="Balance Ajuste Parcial"/>
      <sheetName val="capacidades instaladas"/>
      <sheetName val="Ajuste Parcial Febrero"/>
      <sheetName val="Ajuste Parcial Enero"/>
      <sheetName val="M8"/>
      <sheetName val="Ajuste distibucion"/>
    </sheetNames>
    <sheetDataSet>
      <sheetData sheetId="0"/>
      <sheetData sheetId="1">
        <row r="14">
          <cell r="D14">
            <v>2000.9</v>
          </cell>
        </row>
      </sheetData>
      <sheetData sheetId="2"/>
      <sheetData sheetId="3"/>
      <sheetData sheetId="4">
        <row r="14">
          <cell r="D14">
            <v>2000.9</v>
          </cell>
        </row>
      </sheetData>
      <sheetData sheetId="5"/>
      <sheetData sheetId="6"/>
      <sheetData sheetId="7">
        <row r="14">
          <cell r="D14">
            <v>2000.9</v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>
        <row r="14">
          <cell r="D14">
            <v>63657.810000000005</v>
          </cell>
        </row>
      </sheetData>
      <sheetData sheetId="24">
        <row r="14">
          <cell r="D14">
            <v>2000.9</v>
          </cell>
        </row>
      </sheetData>
      <sheetData sheetId="25"/>
      <sheetData sheetId="26">
        <row r="14">
          <cell r="D14">
            <v>2000.9</v>
          </cell>
        </row>
      </sheetData>
      <sheetData sheetId="27"/>
      <sheetData sheetId="28"/>
      <sheetData sheetId="29">
        <row r="14">
          <cell r="D14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 Base capital completa"/>
      <sheetName val="IMP O&amp;M promedio anterior"/>
      <sheetName val="IMP tasa 12.24%"/>
      <sheetName val="Graficas"/>
      <sheetName val="IMP"/>
      <sheetName val="Hidrometeorología"/>
      <sheetName val="Activos"/>
      <sheetName val="Hoja1"/>
      <sheetName val="Bienes 2004"/>
      <sheetName val="VNR"/>
      <sheetName val="VNR Líneas"/>
      <sheetName val="Compara Valor libros-vs-VNR"/>
      <sheetName val="VNR SE"/>
      <sheetName val="Inversión-Resumen"/>
      <sheetName val="Inversiones"/>
      <sheetName val="Retiros"/>
      <sheetName val="CND"/>
      <sheetName val="Informática"/>
      <sheetName val="Hoja2"/>
      <sheetName val="RRT"/>
      <sheetName val="#¡REF"/>
      <sheetName val="IMP-Ajuste-Fechas"/>
      <sheetName val="IMP-APROBADO"/>
    </sheetNames>
    <sheetDataSet>
      <sheetData sheetId="0"/>
      <sheetData sheetId="1">
        <row r="14">
          <cell r="D14">
            <v>2000.9</v>
          </cell>
        </row>
      </sheetData>
      <sheetData sheetId="2"/>
      <sheetData sheetId="3"/>
      <sheetData sheetId="4">
        <row r="14">
          <cell r="D14">
            <v>2000.9</v>
          </cell>
        </row>
      </sheetData>
      <sheetData sheetId="5"/>
      <sheetData sheetId="6"/>
      <sheetData sheetId="7">
        <row r="14">
          <cell r="D14">
            <v>2000.9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 Base capital completa"/>
      <sheetName val="IMP O&amp;M promedio anterior"/>
      <sheetName val="IMP tasa 12.24%"/>
      <sheetName val="Graficas"/>
      <sheetName val="IMP"/>
      <sheetName val="Hidrometeorología"/>
      <sheetName val="Activos"/>
      <sheetName val="Hoja1"/>
      <sheetName val="Bienes 2004"/>
      <sheetName val="VNR"/>
      <sheetName val="VNR Líneas"/>
      <sheetName val="Compara Valor libros-vs-VNR"/>
      <sheetName val="VNR SE"/>
      <sheetName val="Inversión-Resumen"/>
      <sheetName val="Inversiones"/>
      <sheetName val="Retiros"/>
      <sheetName val="CND"/>
      <sheetName val="Informática"/>
      <sheetName val="Hoja2"/>
      <sheetName val="RRT"/>
      <sheetName val="#¡REF"/>
      <sheetName val="IMP-Ajuste-Fechas"/>
      <sheetName val="IMP-APROBADO"/>
      <sheetName val="Resumen Anual"/>
      <sheetName val="Resumen Anual (original)"/>
      <sheetName val="Justificacion"/>
      <sheetName val="Cuadro Resumen feb"/>
      <sheetName val="Liq Estamp.-Febrero2014"/>
      <sheetName val="Feb Estampilla Generación Final"/>
      <sheetName val="Estampilla Demanda Final"/>
      <sheetName val="AP Febrero Estampilla Postal"/>
      <sheetName val="ANALISIS 96 339"/>
      <sheetName val="Cap.Act. Año 1"/>
      <sheetName val="ESTAMP.-FEB 904"/>
      <sheetName val="Cargos Act. Año 1 (08)"/>
      <sheetName val="Cambio a SE"/>
      <sheetName val="Facturacion"/>
      <sheetName val="SEG ELEC GENERACION"/>
      <sheetName val="SEG ELECT DEMANDA"/>
      <sheetName val="LIQ SEG ELEC FEBRERO2014"/>
      <sheetName val=" LIQ DE ENERO 585"/>
      <sheetName val="SE Ajuste Parcial"/>
      <sheetName val="Balance Enero"/>
      <sheetName val="Balance Ajuste Parcial"/>
      <sheetName val="capacidades instaladas"/>
      <sheetName val="Ajuste Parcial Febrero"/>
      <sheetName val="Ajuste Parcial Enero"/>
      <sheetName val="M8"/>
      <sheetName val="Ajuste distibucion"/>
    </sheetNames>
    <sheetDataSet>
      <sheetData sheetId="0"/>
      <sheetData sheetId="1">
        <row r="14">
          <cell r="D14">
            <v>2000.9</v>
          </cell>
        </row>
      </sheetData>
      <sheetData sheetId="2"/>
      <sheetData sheetId="3"/>
      <sheetData sheetId="4">
        <row r="14">
          <cell r="D14">
            <v>2000.9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T"/>
      <sheetName val="IPSPT"/>
      <sheetName val="IPCT"/>
      <sheetName val="ACTIVOS"/>
      <sheetName val="VNR"/>
      <sheetName val="ADMT%-OMT%"/>
      <sheetName val="RRT"/>
      <sheetName val="CND"/>
      <sheetName val="Hidromet.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14">
          <cell r="D14">
            <v>7.85E-2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028F6-CE27-43D4-9B55-360403F3E28E}">
  <sheetPr>
    <pageSetUpPr fitToPage="1"/>
  </sheetPr>
  <dimension ref="A1:S236"/>
  <sheetViews>
    <sheetView zoomScale="70" zoomScaleNormal="70" workbookViewId="0">
      <selection activeCell="D204" sqref="D204"/>
    </sheetView>
  </sheetViews>
  <sheetFormatPr baseColWidth="10" defaultColWidth="8.7109375" defaultRowHeight="15" customHeight="1"/>
  <cols>
    <col min="1" max="1" width="48.85546875" style="36" customWidth="1"/>
    <col min="2" max="2" width="15" style="36" customWidth="1"/>
    <col min="3" max="3" width="8.7109375" style="36"/>
    <col min="4" max="4" width="11.42578125" style="36" customWidth="1"/>
    <col min="5" max="5" width="9.42578125" style="36" customWidth="1"/>
    <col min="6" max="6" width="9.7109375" style="36" bestFit="1" customWidth="1"/>
    <col min="7" max="7" width="8.7109375" style="36"/>
    <col min="8" max="8" width="25" style="36" customWidth="1"/>
    <col min="9" max="9" width="9.5703125" style="36" customWidth="1"/>
    <col min="10" max="10" width="8.7109375" style="36"/>
    <col min="11" max="11" width="15.7109375" style="36" customWidth="1"/>
    <col min="12" max="12" width="11.28515625" style="36" bestFit="1" customWidth="1"/>
    <col min="13" max="13" width="12.140625" style="36" customWidth="1"/>
    <col min="14" max="14" width="9.7109375" style="36" customWidth="1"/>
    <col min="15" max="15" width="8.5703125" style="36" customWidth="1"/>
    <col min="16" max="16" width="43.140625" style="36" customWidth="1"/>
    <col min="17" max="17" width="22.5703125" style="36" customWidth="1"/>
    <col min="18" max="18" width="10" style="36" customWidth="1"/>
    <col min="19" max="26" width="6.7109375" style="36" customWidth="1"/>
    <col min="27" max="256" width="8.7109375" style="36"/>
    <col min="257" max="257" width="66" style="36" customWidth="1"/>
    <col min="258" max="258" width="15" style="36" customWidth="1"/>
    <col min="259" max="259" width="8.7109375" style="36"/>
    <col min="260" max="260" width="11.42578125" style="36" customWidth="1"/>
    <col min="261" max="261" width="9.42578125" style="36" customWidth="1"/>
    <col min="262" max="262" width="9.7109375" style="36" bestFit="1" customWidth="1"/>
    <col min="263" max="263" width="8.7109375" style="36"/>
    <col min="264" max="264" width="25" style="36" customWidth="1"/>
    <col min="265" max="265" width="9.5703125" style="36" customWidth="1"/>
    <col min="266" max="266" width="8.7109375" style="36"/>
    <col min="267" max="267" width="15.7109375" style="36" customWidth="1"/>
    <col min="268" max="268" width="11.28515625" style="36" bestFit="1" customWidth="1"/>
    <col min="269" max="269" width="12.140625" style="36" customWidth="1"/>
    <col min="270" max="270" width="9.7109375" style="36" customWidth="1"/>
    <col min="271" max="271" width="26.5703125" style="36" bestFit="1" customWidth="1"/>
    <col min="272" max="272" width="43.140625" style="36" customWidth="1"/>
    <col min="273" max="273" width="22.5703125" style="36" customWidth="1"/>
    <col min="274" max="274" width="10" style="36" customWidth="1"/>
    <col min="275" max="282" width="6.7109375" style="36" customWidth="1"/>
    <col min="283" max="512" width="8.7109375" style="36"/>
    <col min="513" max="513" width="66" style="36" customWidth="1"/>
    <col min="514" max="514" width="15" style="36" customWidth="1"/>
    <col min="515" max="515" width="8.7109375" style="36"/>
    <col min="516" max="516" width="11.42578125" style="36" customWidth="1"/>
    <col min="517" max="517" width="9.42578125" style="36" customWidth="1"/>
    <col min="518" max="518" width="9.7109375" style="36" bestFit="1" customWidth="1"/>
    <col min="519" max="519" width="8.7109375" style="36"/>
    <col min="520" max="520" width="25" style="36" customWidth="1"/>
    <col min="521" max="521" width="9.5703125" style="36" customWidth="1"/>
    <col min="522" max="522" width="8.7109375" style="36"/>
    <col min="523" max="523" width="15.7109375" style="36" customWidth="1"/>
    <col min="524" max="524" width="11.28515625" style="36" bestFit="1" customWidth="1"/>
    <col min="525" max="525" width="12.140625" style="36" customWidth="1"/>
    <col min="526" max="526" width="9.7109375" style="36" customWidth="1"/>
    <col min="527" max="527" width="26.5703125" style="36" bestFit="1" customWidth="1"/>
    <col min="528" max="528" width="43.140625" style="36" customWidth="1"/>
    <col min="529" max="529" width="22.5703125" style="36" customWidth="1"/>
    <col min="530" max="530" width="10" style="36" customWidth="1"/>
    <col min="531" max="538" width="6.7109375" style="36" customWidth="1"/>
    <col min="539" max="768" width="8.7109375" style="36"/>
    <col min="769" max="769" width="66" style="36" customWidth="1"/>
    <col min="770" max="770" width="15" style="36" customWidth="1"/>
    <col min="771" max="771" width="8.7109375" style="36"/>
    <col min="772" max="772" width="11.42578125" style="36" customWidth="1"/>
    <col min="773" max="773" width="9.42578125" style="36" customWidth="1"/>
    <col min="774" max="774" width="9.7109375" style="36" bestFit="1" customWidth="1"/>
    <col min="775" max="775" width="8.7109375" style="36"/>
    <col min="776" max="776" width="25" style="36" customWidth="1"/>
    <col min="777" max="777" width="9.5703125" style="36" customWidth="1"/>
    <col min="778" max="778" width="8.7109375" style="36"/>
    <col min="779" max="779" width="15.7109375" style="36" customWidth="1"/>
    <col min="780" max="780" width="11.28515625" style="36" bestFit="1" customWidth="1"/>
    <col min="781" max="781" width="12.140625" style="36" customWidth="1"/>
    <col min="782" max="782" width="9.7109375" style="36" customWidth="1"/>
    <col min="783" max="783" width="26.5703125" style="36" bestFit="1" customWidth="1"/>
    <col min="784" max="784" width="43.140625" style="36" customWidth="1"/>
    <col min="785" max="785" width="22.5703125" style="36" customWidth="1"/>
    <col min="786" max="786" width="10" style="36" customWidth="1"/>
    <col min="787" max="794" width="6.7109375" style="36" customWidth="1"/>
    <col min="795" max="1024" width="8.7109375" style="36"/>
    <col min="1025" max="1025" width="66" style="36" customWidth="1"/>
    <col min="1026" max="1026" width="15" style="36" customWidth="1"/>
    <col min="1027" max="1027" width="8.7109375" style="36"/>
    <col min="1028" max="1028" width="11.42578125" style="36" customWidth="1"/>
    <col min="1029" max="1029" width="9.42578125" style="36" customWidth="1"/>
    <col min="1030" max="1030" width="9.7109375" style="36" bestFit="1" customWidth="1"/>
    <col min="1031" max="1031" width="8.7109375" style="36"/>
    <col min="1032" max="1032" width="25" style="36" customWidth="1"/>
    <col min="1033" max="1033" width="9.5703125" style="36" customWidth="1"/>
    <col min="1034" max="1034" width="8.7109375" style="36"/>
    <col min="1035" max="1035" width="15.7109375" style="36" customWidth="1"/>
    <col min="1036" max="1036" width="11.28515625" style="36" bestFit="1" customWidth="1"/>
    <col min="1037" max="1037" width="12.140625" style="36" customWidth="1"/>
    <col min="1038" max="1038" width="9.7109375" style="36" customWidth="1"/>
    <col min="1039" max="1039" width="26.5703125" style="36" bestFit="1" customWidth="1"/>
    <col min="1040" max="1040" width="43.140625" style="36" customWidth="1"/>
    <col min="1041" max="1041" width="22.5703125" style="36" customWidth="1"/>
    <col min="1042" max="1042" width="10" style="36" customWidth="1"/>
    <col min="1043" max="1050" width="6.7109375" style="36" customWidth="1"/>
    <col min="1051" max="1280" width="8.7109375" style="36"/>
    <col min="1281" max="1281" width="66" style="36" customWidth="1"/>
    <col min="1282" max="1282" width="15" style="36" customWidth="1"/>
    <col min="1283" max="1283" width="8.7109375" style="36"/>
    <col min="1284" max="1284" width="11.42578125" style="36" customWidth="1"/>
    <col min="1285" max="1285" width="9.42578125" style="36" customWidth="1"/>
    <col min="1286" max="1286" width="9.7109375" style="36" bestFit="1" customWidth="1"/>
    <col min="1287" max="1287" width="8.7109375" style="36"/>
    <col min="1288" max="1288" width="25" style="36" customWidth="1"/>
    <col min="1289" max="1289" width="9.5703125" style="36" customWidth="1"/>
    <col min="1290" max="1290" width="8.7109375" style="36"/>
    <col min="1291" max="1291" width="15.7109375" style="36" customWidth="1"/>
    <col min="1292" max="1292" width="11.28515625" style="36" bestFit="1" customWidth="1"/>
    <col min="1293" max="1293" width="12.140625" style="36" customWidth="1"/>
    <col min="1294" max="1294" width="9.7109375" style="36" customWidth="1"/>
    <col min="1295" max="1295" width="26.5703125" style="36" bestFit="1" customWidth="1"/>
    <col min="1296" max="1296" width="43.140625" style="36" customWidth="1"/>
    <col min="1297" max="1297" width="22.5703125" style="36" customWidth="1"/>
    <col min="1298" max="1298" width="10" style="36" customWidth="1"/>
    <col min="1299" max="1306" width="6.7109375" style="36" customWidth="1"/>
    <col min="1307" max="1536" width="8.7109375" style="36"/>
    <col min="1537" max="1537" width="66" style="36" customWidth="1"/>
    <col min="1538" max="1538" width="15" style="36" customWidth="1"/>
    <col min="1539" max="1539" width="8.7109375" style="36"/>
    <col min="1540" max="1540" width="11.42578125" style="36" customWidth="1"/>
    <col min="1541" max="1541" width="9.42578125" style="36" customWidth="1"/>
    <col min="1542" max="1542" width="9.7109375" style="36" bestFit="1" customWidth="1"/>
    <col min="1543" max="1543" width="8.7109375" style="36"/>
    <col min="1544" max="1544" width="25" style="36" customWidth="1"/>
    <col min="1545" max="1545" width="9.5703125" style="36" customWidth="1"/>
    <col min="1546" max="1546" width="8.7109375" style="36"/>
    <col min="1547" max="1547" width="15.7109375" style="36" customWidth="1"/>
    <col min="1548" max="1548" width="11.28515625" style="36" bestFit="1" customWidth="1"/>
    <col min="1549" max="1549" width="12.140625" style="36" customWidth="1"/>
    <col min="1550" max="1550" width="9.7109375" style="36" customWidth="1"/>
    <col min="1551" max="1551" width="26.5703125" style="36" bestFit="1" customWidth="1"/>
    <col min="1552" max="1552" width="43.140625" style="36" customWidth="1"/>
    <col min="1553" max="1553" width="22.5703125" style="36" customWidth="1"/>
    <col min="1554" max="1554" width="10" style="36" customWidth="1"/>
    <col min="1555" max="1562" width="6.7109375" style="36" customWidth="1"/>
    <col min="1563" max="1792" width="8.7109375" style="36"/>
    <col min="1793" max="1793" width="66" style="36" customWidth="1"/>
    <col min="1794" max="1794" width="15" style="36" customWidth="1"/>
    <col min="1795" max="1795" width="8.7109375" style="36"/>
    <col min="1796" max="1796" width="11.42578125" style="36" customWidth="1"/>
    <col min="1797" max="1797" width="9.42578125" style="36" customWidth="1"/>
    <col min="1798" max="1798" width="9.7109375" style="36" bestFit="1" customWidth="1"/>
    <col min="1799" max="1799" width="8.7109375" style="36"/>
    <col min="1800" max="1800" width="25" style="36" customWidth="1"/>
    <col min="1801" max="1801" width="9.5703125" style="36" customWidth="1"/>
    <col min="1802" max="1802" width="8.7109375" style="36"/>
    <col min="1803" max="1803" width="15.7109375" style="36" customWidth="1"/>
    <col min="1804" max="1804" width="11.28515625" style="36" bestFit="1" customWidth="1"/>
    <col min="1805" max="1805" width="12.140625" style="36" customWidth="1"/>
    <col min="1806" max="1806" width="9.7109375" style="36" customWidth="1"/>
    <col min="1807" max="1807" width="26.5703125" style="36" bestFit="1" customWidth="1"/>
    <col min="1808" max="1808" width="43.140625" style="36" customWidth="1"/>
    <col min="1809" max="1809" width="22.5703125" style="36" customWidth="1"/>
    <col min="1810" max="1810" width="10" style="36" customWidth="1"/>
    <col min="1811" max="1818" width="6.7109375" style="36" customWidth="1"/>
    <col min="1819" max="2048" width="8.7109375" style="36"/>
    <col min="2049" max="2049" width="66" style="36" customWidth="1"/>
    <col min="2050" max="2050" width="15" style="36" customWidth="1"/>
    <col min="2051" max="2051" width="8.7109375" style="36"/>
    <col min="2052" max="2052" width="11.42578125" style="36" customWidth="1"/>
    <col min="2053" max="2053" width="9.42578125" style="36" customWidth="1"/>
    <col min="2054" max="2054" width="9.7109375" style="36" bestFit="1" customWidth="1"/>
    <col min="2055" max="2055" width="8.7109375" style="36"/>
    <col min="2056" max="2056" width="25" style="36" customWidth="1"/>
    <col min="2057" max="2057" width="9.5703125" style="36" customWidth="1"/>
    <col min="2058" max="2058" width="8.7109375" style="36"/>
    <col min="2059" max="2059" width="15.7109375" style="36" customWidth="1"/>
    <col min="2060" max="2060" width="11.28515625" style="36" bestFit="1" customWidth="1"/>
    <col min="2061" max="2061" width="12.140625" style="36" customWidth="1"/>
    <col min="2062" max="2062" width="9.7109375" style="36" customWidth="1"/>
    <col min="2063" max="2063" width="26.5703125" style="36" bestFit="1" customWidth="1"/>
    <col min="2064" max="2064" width="43.140625" style="36" customWidth="1"/>
    <col min="2065" max="2065" width="22.5703125" style="36" customWidth="1"/>
    <col min="2066" max="2066" width="10" style="36" customWidth="1"/>
    <col min="2067" max="2074" width="6.7109375" style="36" customWidth="1"/>
    <col min="2075" max="2304" width="8.7109375" style="36"/>
    <col min="2305" max="2305" width="66" style="36" customWidth="1"/>
    <col min="2306" max="2306" width="15" style="36" customWidth="1"/>
    <col min="2307" max="2307" width="8.7109375" style="36"/>
    <col min="2308" max="2308" width="11.42578125" style="36" customWidth="1"/>
    <col min="2309" max="2309" width="9.42578125" style="36" customWidth="1"/>
    <col min="2310" max="2310" width="9.7109375" style="36" bestFit="1" customWidth="1"/>
    <col min="2311" max="2311" width="8.7109375" style="36"/>
    <col min="2312" max="2312" width="25" style="36" customWidth="1"/>
    <col min="2313" max="2313" width="9.5703125" style="36" customWidth="1"/>
    <col min="2314" max="2314" width="8.7109375" style="36"/>
    <col min="2315" max="2315" width="15.7109375" style="36" customWidth="1"/>
    <col min="2316" max="2316" width="11.28515625" style="36" bestFit="1" customWidth="1"/>
    <col min="2317" max="2317" width="12.140625" style="36" customWidth="1"/>
    <col min="2318" max="2318" width="9.7109375" style="36" customWidth="1"/>
    <col min="2319" max="2319" width="26.5703125" style="36" bestFit="1" customWidth="1"/>
    <col min="2320" max="2320" width="43.140625" style="36" customWidth="1"/>
    <col min="2321" max="2321" width="22.5703125" style="36" customWidth="1"/>
    <col min="2322" max="2322" width="10" style="36" customWidth="1"/>
    <col min="2323" max="2330" width="6.7109375" style="36" customWidth="1"/>
    <col min="2331" max="2560" width="8.7109375" style="36"/>
    <col min="2561" max="2561" width="66" style="36" customWidth="1"/>
    <col min="2562" max="2562" width="15" style="36" customWidth="1"/>
    <col min="2563" max="2563" width="8.7109375" style="36"/>
    <col min="2564" max="2564" width="11.42578125" style="36" customWidth="1"/>
    <col min="2565" max="2565" width="9.42578125" style="36" customWidth="1"/>
    <col min="2566" max="2566" width="9.7109375" style="36" bestFit="1" customWidth="1"/>
    <col min="2567" max="2567" width="8.7109375" style="36"/>
    <col min="2568" max="2568" width="25" style="36" customWidth="1"/>
    <col min="2569" max="2569" width="9.5703125" style="36" customWidth="1"/>
    <col min="2570" max="2570" width="8.7109375" style="36"/>
    <col min="2571" max="2571" width="15.7109375" style="36" customWidth="1"/>
    <col min="2572" max="2572" width="11.28515625" style="36" bestFit="1" customWidth="1"/>
    <col min="2573" max="2573" width="12.140625" style="36" customWidth="1"/>
    <col min="2574" max="2574" width="9.7109375" style="36" customWidth="1"/>
    <col min="2575" max="2575" width="26.5703125" style="36" bestFit="1" customWidth="1"/>
    <col min="2576" max="2576" width="43.140625" style="36" customWidth="1"/>
    <col min="2577" max="2577" width="22.5703125" style="36" customWidth="1"/>
    <col min="2578" max="2578" width="10" style="36" customWidth="1"/>
    <col min="2579" max="2586" width="6.7109375" style="36" customWidth="1"/>
    <col min="2587" max="2816" width="8.7109375" style="36"/>
    <col min="2817" max="2817" width="66" style="36" customWidth="1"/>
    <col min="2818" max="2818" width="15" style="36" customWidth="1"/>
    <col min="2819" max="2819" width="8.7109375" style="36"/>
    <col min="2820" max="2820" width="11.42578125" style="36" customWidth="1"/>
    <col min="2821" max="2821" width="9.42578125" style="36" customWidth="1"/>
    <col min="2822" max="2822" width="9.7109375" style="36" bestFit="1" customWidth="1"/>
    <col min="2823" max="2823" width="8.7109375" style="36"/>
    <col min="2824" max="2824" width="25" style="36" customWidth="1"/>
    <col min="2825" max="2825" width="9.5703125" style="36" customWidth="1"/>
    <col min="2826" max="2826" width="8.7109375" style="36"/>
    <col min="2827" max="2827" width="15.7109375" style="36" customWidth="1"/>
    <col min="2828" max="2828" width="11.28515625" style="36" bestFit="1" customWidth="1"/>
    <col min="2829" max="2829" width="12.140625" style="36" customWidth="1"/>
    <col min="2830" max="2830" width="9.7109375" style="36" customWidth="1"/>
    <col min="2831" max="2831" width="26.5703125" style="36" bestFit="1" customWidth="1"/>
    <col min="2832" max="2832" width="43.140625" style="36" customWidth="1"/>
    <col min="2833" max="2833" width="22.5703125" style="36" customWidth="1"/>
    <col min="2834" max="2834" width="10" style="36" customWidth="1"/>
    <col min="2835" max="2842" width="6.7109375" style="36" customWidth="1"/>
    <col min="2843" max="3072" width="8.7109375" style="36"/>
    <col min="3073" max="3073" width="66" style="36" customWidth="1"/>
    <col min="3074" max="3074" width="15" style="36" customWidth="1"/>
    <col min="3075" max="3075" width="8.7109375" style="36"/>
    <col min="3076" max="3076" width="11.42578125" style="36" customWidth="1"/>
    <col min="3077" max="3077" width="9.42578125" style="36" customWidth="1"/>
    <col min="3078" max="3078" width="9.7109375" style="36" bestFit="1" customWidth="1"/>
    <col min="3079" max="3079" width="8.7109375" style="36"/>
    <col min="3080" max="3080" width="25" style="36" customWidth="1"/>
    <col min="3081" max="3081" width="9.5703125" style="36" customWidth="1"/>
    <col min="3082" max="3082" width="8.7109375" style="36"/>
    <col min="3083" max="3083" width="15.7109375" style="36" customWidth="1"/>
    <col min="3084" max="3084" width="11.28515625" style="36" bestFit="1" customWidth="1"/>
    <col min="3085" max="3085" width="12.140625" style="36" customWidth="1"/>
    <col min="3086" max="3086" width="9.7109375" style="36" customWidth="1"/>
    <col min="3087" max="3087" width="26.5703125" style="36" bestFit="1" customWidth="1"/>
    <col min="3088" max="3088" width="43.140625" style="36" customWidth="1"/>
    <col min="3089" max="3089" width="22.5703125" style="36" customWidth="1"/>
    <col min="3090" max="3090" width="10" style="36" customWidth="1"/>
    <col min="3091" max="3098" width="6.7109375" style="36" customWidth="1"/>
    <col min="3099" max="3328" width="8.7109375" style="36"/>
    <col min="3329" max="3329" width="66" style="36" customWidth="1"/>
    <col min="3330" max="3330" width="15" style="36" customWidth="1"/>
    <col min="3331" max="3331" width="8.7109375" style="36"/>
    <col min="3332" max="3332" width="11.42578125" style="36" customWidth="1"/>
    <col min="3333" max="3333" width="9.42578125" style="36" customWidth="1"/>
    <col min="3334" max="3334" width="9.7109375" style="36" bestFit="1" customWidth="1"/>
    <col min="3335" max="3335" width="8.7109375" style="36"/>
    <col min="3336" max="3336" width="25" style="36" customWidth="1"/>
    <col min="3337" max="3337" width="9.5703125" style="36" customWidth="1"/>
    <col min="3338" max="3338" width="8.7109375" style="36"/>
    <col min="3339" max="3339" width="15.7109375" style="36" customWidth="1"/>
    <col min="3340" max="3340" width="11.28515625" style="36" bestFit="1" customWidth="1"/>
    <col min="3341" max="3341" width="12.140625" style="36" customWidth="1"/>
    <col min="3342" max="3342" width="9.7109375" style="36" customWidth="1"/>
    <col min="3343" max="3343" width="26.5703125" style="36" bestFit="1" customWidth="1"/>
    <col min="3344" max="3344" width="43.140625" style="36" customWidth="1"/>
    <col min="3345" max="3345" width="22.5703125" style="36" customWidth="1"/>
    <col min="3346" max="3346" width="10" style="36" customWidth="1"/>
    <col min="3347" max="3354" width="6.7109375" style="36" customWidth="1"/>
    <col min="3355" max="3584" width="8.7109375" style="36"/>
    <col min="3585" max="3585" width="66" style="36" customWidth="1"/>
    <col min="3586" max="3586" width="15" style="36" customWidth="1"/>
    <col min="3587" max="3587" width="8.7109375" style="36"/>
    <col min="3588" max="3588" width="11.42578125" style="36" customWidth="1"/>
    <col min="3589" max="3589" width="9.42578125" style="36" customWidth="1"/>
    <col min="3590" max="3590" width="9.7109375" style="36" bestFit="1" customWidth="1"/>
    <col min="3591" max="3591" width="8.7109375" style="36"/>
    <col min="3592" max="3592" width="25" style="36" customWidth="1"/>
    <col min="3593" max="3593" width="9.5703125" style="36" customWidth="1"/>
    <col min="3594" max="3594" width="8.7109375" style="36"/>
    <col min="3595" max="3595" width="15.7109375" style="36" customWidth="1"/>
    <col min="3596" max="3596" width="11.28515625" style="36" bestFit="1" customWidth="1"/>
    <col min="3597" max="3597" width="12.140625" style="36" customWidth="1"/>
    <col min="3598" max="3598" width="9.7109375" style="36" customWidth="1"/>
    <col min="3599" max="3599" width="26.5703125" style="36" bestFit="1" customWidth="1"/>
    <col min="3600" max="3600" width="43.140625" style="36" customWidth="1"/>
    <col min="3601" max="3601" width="22.5703125" style="36" customWidth="1"/>
    <col min="3602" max="3602" width="10" style="36" customWidth="1"/>
    <col min="3603" max="3610" width="6.7109375" style="36" customWidth="1"/>
    <col min="3611" max="3840" width="8.7109375" style="36"/>
    <col min="3841" max="3841" width="66" style="36" customWidth="1"/>
    <col min="3842" max="3842" width="15" style="36" customWidth="1"/>
    <col min="3843" max="3843" width="8.7109375" style="36"/>
    <col min="3844" max="3844" width="11.42578125" style="36" customWidth="1"/>
    <col min="3845" max="3845" width="9.42578125" style="36" customWidth="1"/>
    <col min="3846" max="3846" width="9.7109375" style="36" bestFit="1" customWidth="1"/>
    <col min="3847" max="3847" width="8.7109375" style="36"/>
    <col min="3848" max="3848" width="25" style="36" customWidth="1"/>
    <col min="3849" max="3849" width="9.5703125" style="36" customWidth="1"/>
    <col min="3850" max="3850" width="8.7109375" style="36"/>
    <col min="3851" max="3851" width="15.7109375" style="36" customWidth="1"/>
    <col min="3852" max="3852" width="11.28515625" style="36" bestFit="1" customWidth="1"/>
    <col min="3853" max="3853" width="12.140625" style="36" customWidth="1"/>
    <col min="3854" max="3854" width="9.7109375" style="36" customWidth="1"/>
    <col min="3855" max="3855" width="26.5703125" style="36" bestFit="1" customWidth="1"/>
    <col min="3856" max="3856" width="43.140625" style="36" customWidth="1"/>
    <col min="3857" max="3857" width="22.5703125" style="36" customWidth="1"/>
    <col min="3858" max="3858" width="10" style="36" customWidth="1"/>
    <col min="3859" max="3866" width="6.7109375" style="36" customWidth="1"/>
    <col min="3867" max="4096" width="8.7109375" style="36"/>
    <col min="4097" max="4097" width="66" style="36" customWidth="1"/>
    <col min="4098" max="4098" width="15" style="36" customWidth="1"/>
    <col min="4099" max="4099" width="8.7109375" style="36"/>
    <col min="4100" max="4100" width="11.42578125" style="36" customWidth="1"/>
    <col min="4101" max="4101" width="9.42578125" style="36" customWidth="1"/>
    <col min="4102" max="4102" width="9.7109375" style="36" bestFit="1" customWidth="1"/>
    <col min="4103" max="4103" width="8.7109375" style="36"/>
    <col min="4104" max="4104" width="25" style="36" customWidth="1"/>
    <col min="4105" max="4105" width="9.5703125" style="36" customWidth="1"/>
    <col min="4106" max="4106" width="8.7109375" style="36"/>
    <col min="4107" max="4107" width="15.7109375" style="36" customWidth="1"/>
    <col min="4108" max="4108" width="11.28515625" style="36" bestFit="1" customWidth="1"/>
    <col min="4109" max="4109" width="12.140625" style="36" customWidth="1"/>
    <col min="4110" max="4110" width="9.7109375" style="36" customWidth="1"/>
    <col min="4111" max="4111" width="26.5703125" style="36" bestFit="1" customWidth="1"/>
    <col min="4112" max="4112" width="43.140625" style="36" customWidth="1"/>
    <col min="4113" max="4113" width="22.5703125" style="36" customWidth="1"/>
    <col min="4114" max="4114" width="10" style="36" customWidth="1"/>
    <col min="4115" max="4122" width="6.7109375" style="36" customWidth="1"/>
    <col min="4123" max="4352" width="8.7109375" style="36"/>
    <col min="4353" max="4353" width="66" style="36" customWidth="1"/>
    <col min="4354" max="4354" width="15" style="36" customWidth="1"/>
    <col min="4355" max="4355" width="8.7109375" style="36"/>
    <col min="4356" max="4356" width="11.42578125" style="36" customWidth="1"/>
    <col min="4357" max="4357" width="9.42578125" style="36" customWidth="1"/>
    <col min="4358" max="4358" width="9.7109375" style="36" bestFit="1" customWidth="1"/>
    <col min="4359" max="4359" width="8.7109375" style="36"/>
    <col min="4360" max="4360" width="25" style="36" customWidth="1"/>
    <col min="4361" max="4361" width="9.5703125" style="36" customWidth="1"/>
    <col min="4362" max="4362" width="8.7109375" style="36"/>
    <col min="4363" max="4363" width="15.7109375" style="36" customWidth="1"/>
    <col min="4364" max="4364" width="11.28515625" style="36" bestFit="1" customWidth="1"/>
    <col min="4365" max="4365" width="12.140625" style="36" customWidth="1"/>
    <col min="4366" max="4366" width="9.7109375" style="36" customWidth="1"/>
    <col min="4367" max="4367" width="26.5703125" style="36" bestFit="1" customWidth="1"/>
    <col min="4368" max="4368" width="43.140625" style="36" customWidth="1"/>
    <col min="4369" max="4369" width="22.5703125" style="36" customWidth="1"/>
    <col min="4370" max="4370" width="10" style="36" customWidth="1"/>
    <col min="4371" max="4378" width="6.7109375" style="36" customWidth="1"/>
    <col min="4379" max="4608" width="8.7109375" style="36"/>
    <col min="4609" max="4609" width="66" style="36" customWidth="1"/>
    <col min="4610" max="4610" width="15" style="36" customWidth="1"/>
    <col min="4611" max="4611" width="8.7109375" style="36"/>
    <col min="4612" max="4612" width="11.42578125" style="36" customWidth="1"/>
    <col min="4613" max="4613" width="9.42578125" style="36" customWidth="1"/>
    <col min="4614" max="4614" width="9.7109375" style="36" bestFit="1" customWidth="1"/>
    <col min="4615" max="4615" width="8.7109375" style="36"/>
    <col min="4616" max="4616" width="25" style="36" customWidth="1"/>
    <col min="4617" max="4617" width="9.5703125" style="36" customWidth="1"/>
    <col min="4618" max="4618" width="8.7109375" style="36"/>
    <col min="4619" max="4619" width="15.7109375" style="36" customWidth="1"/>
    <col min="4620" max="4620" width="11.28515625" style="36" bestFit="1" customWidth="1"/>
    <col min="4621" max="4621" width="12.140625" style="36" customWidth="1"/>
    <col min="4622" max="4622" width="9.7109375" style="36" customWidth="1"/>
    <col min="4623" max="4623" width="26.5703125" style="36" bestFit="1" customWidth="1"/>
    <col min="4624" max="4624" width="43.140625" style="36" customWidth="1"/>
    <col min="4625" max="4625" width="22.5703125" style="36" customWidth="1"/>
    <col min="4626" max="4626" width="10" style="36" customWidth="1"/>
    <col min="4627" max="4634" width="6.7109375" style="36" customWidth="1"/>
    <col min="4635" max="4864" width="8.7109375" style="36"/>
    <col min="4865" max="4865" width="66" style="36" customWidth="1"/>
    <col min="4866" max="4866" width="15" style="36" customWidth="1"/>
    <col min="4867" max="4867" width="8.7109375" style="36"/>
    <col min="4868" max="4868" width="11.42578125" style="36" customWidth="1"/>
    <col min="4869" max="4869" width="9.42578125" style="36" customWidth="1"/>
    <col min="4870" max="4870" width="9.7109375" style="36" bestFit="1" customWidth="1"/>
    <col min="4871" max="4871" width="8.7109375" style="36"/>
    <col min="4872" max="4872" width="25" style="36" customWidth="1"/>
    <col min="4873" max="4873" width="9.5703125" style="36" customWidth="1"/>
    <col min="4874" max="4874" width="8.7109375" style="36"/>
    <col min="4875" max="4875" width="15.7109375" style="36" customWidth="1"/>
    <col min="4876" max="4876" width="11.28515625" style="36" bestFit="1" customWidth="1"/>
    <col min="4877" max="4877" width="12.140625" style="36" customWidth="1"/>
    <col min="4878" max="4878" width="9.7109375" style="36" customWidth="1"/>
    <col min="4879" max="4879" width="26.5703125" style="36" bestFit="1" customWidth="1"/>
    <col min="4880" max="4880" width="43.140625" style="36" customWidth="1"/>
    <col min="4881" max="4881" width="22.5703125" style="36" customWidth="1"/>
    <col min="4882" max="4882" width="10" style="36" customWidth="1"/>
    <col min="4883" max="4890" width="6.7109375" style="36" customWidth="1"/>
    <col min="4891" max="5120" width="8.7109375" style="36"/>
    <col min="5121" max="5121" width="66" style="36" customWidth="1"/>
    <col min="5122" max="5122" width="15" style="36" customWidth="1"/>
    <col min="5123" max="5123" width="8.7109375" style="36"/>
    <col min="5124" max="5124" width="11.42578125" style="36" customWidth="1"/>
    <col min="5125" max="5125" width="9.42578125" style="36" customWidth="1"/>
    <col min="5126" max="5126" width="9.7109375" style="36" bestFit="1" customWidth="1"/>
    <col min="5127" max="5127" width="8.7109375" style="36"/>
    <col min="5128" max="5128" width="25" style="36" customWidth="1"/>
    <col min="5129" max="5129" width="9.5703125" style="36" customWidth="1"/>
    <col min="5130" max="5130" width="8.7109375" style="36"/>
    <col min="5131" max="5131" width="15.7109375" style="36" customWidth="1"/>
    <col min="5132" max="5132" width="11.28515625" style="36" bestFit="1" customWidth="1"/>
    <col min="5133" max="5133" width="12.140625" style="36" customWidth="1"/>
    <col min="5134" max="5134" width="9.7109375" style="36" customWidth="1"/>
    <col min="5135" max="5135" width="26.5703125" style="36" bestFit="1" customWidth="1"/>
    <col min="5136" max="5136" width="43.140625" style="36" customWidth="1"/>
    <col min="5137" max="5137" width="22.5703125" style="36" customWidth="1"/>
    <col min="5138" max="5138" width="10" style="36" customWidth="1"/>
    <col min="5139" max="5146" width="6.7109375" style="36" customWidth="1"/>
    <col min="5147" max="5376" width="8.7109375" style="36"/>
    <col min="5377" max="5377" width="66" style="36" customWidth="1"/>
    <col min="5378" max="5378" width="15" style="36" customWidth="1"/>
    <col min="5379" max="5379" width="8.7109375" style="36"/>
    <col min="5380" max="5380" width="11.42578125" style="36" customWidth="1"/>
    <col min="5381" max="5381" width="9.42578125" style="36" customWidth="1"/>
    <col min="5382" max="5382" width="9.7109375" style="36" bestFit="1" customWidth="1"/>
    <col min="5383" max="5383" width="8.7109375" style="36"/>
    <col min="5384" max="5384" width="25" style="36" customWidth="1"/>
    <col min="5385" max="5385" width="9.5703125" style="36" customWidth="1"/>
    <col min="5386" max="5386" width="8.7109375" style="36"/>
    <col min="5387" max="5387" width="15.7109375" style="36" customWidth="1"/>
    <col min="5388" max="5388" width="11.28515625" style="36" bestFit="1" customWidth="1"/>
    <col min="5389" max="5389" width="12.140625" style="36" customWidth="1"/>
    <col min="5390" max="5390" width="9.7109375" style="36" customWidth="1"/>
    <col min="5391" max="5391" width="26.5703125" style="36" bestFit="1" customWidth="1"/>
    <col min="5392" max="5392" width="43.140625" style="36" customWidth="1"/>
    <col min="5393" max="5393" width="22.5703125" style="36" customWidth="1"/>
    <col min="5394" max="5394" width="10" style="36" customWidth="1"/>
    <col min="5395" max="5402" width="6.7109375" style="36" customWidth="1"/>
    <col min="5403" max="5632" width="8.7109375" style="36"/>
    <col min="5633" max="5633" width="66" style="36" customWidth="1"/>
    <col min="5634" max="5634" width="15" style="36" customWidth="1"/>
    <col min="5635" max="5635" width="8.7109375" style="36"/>
    <col min="5636" max="5636" width="11.42578125" style="36" customWidth="1"/>
    <col min="5637" max="5637" width="9.42578125" style="36" customWidth="1"/>
    <col min="5638" max="5638" width="9.7109375" style="36" bestFit="1" customWidth="1"/>
    <col min="5639" max="5639" width="8.7109375" style="36"/>
    <col min="5640" max="5640" width="25" style="36" customWidth="1"/>
    <col min="5641" max="5641" width="9.5703125" style="36" customWidth="1"/>
    <col min="5642" max="5642" width="8.7109375" style="36"/>
    <col min="5643" max="5643" width="15.7109375" style="36" customWidth="1"/>
    <col min="5644" max="5644" width="11.28515625" style="36" bestFit="1" customWidth="1"/>
    <col min="5645" max="5645" width="12.140625" style="36" customWidth="1"/>
    <col min="5646" max="5646" width="9.7109375" style="36" customWidth="1"/>
    <col min="5647" max="5647" width="26.5703125" style="36" bestFit="1" customWidth="1"/>
    <col min="5648" max="5648" width="43.140625" style="36" customWidth="1"/>
    <col min="5649" max="5649" width="22.5703125" style="36" customWidth="1"/>
    <col min="5650" max="5650" width="10" style="36" customWidth="1"/>
    <col min="5651" max="5658" width="6.7109375" style="36" customWidth="1"/>
    <col min="5659" max="5888" width="8.7109375" style="36"/>
    <col min="5889" max="5889" width="66" style="36" customWidth="1"/>
    <col min="5890" max="5890" width="15" style="36" customWidth="1"/>
    <col min="5891" max="5891" width="8.7109375" style="36"/>
    <col min="5892" max="5892" width="11.42578125" style="36" customWidth="1"/>
    <col min="5893" max="5893" width="9.42578125" style="36" customWidth="1"/>
    <col min="5894" max="5894" width="9.7109375" style="36" bestFit="1" customWidth="1"/>
    <col min="5895" max="5895" width="8.7109375" style="36"/>
    <col min="5896" max="5896" width="25" style="36" customWidth="1"/>
    <col min="5897" max="5897" width="9.5703125" style="36" customWidth="1"/>
    <col min="5898" max="5898" width="8.7109375" style="36"/>
    <col min="5899" max="5899" width="15.7109375" style="36" customWidth="1"/>
    <col min="5900" max="5900" width="11.28515625" style="36" bestFit="1" customWidth="1"/>
    <col min="5901" max="5901" width="12.140625" style="36" customWidth="1"/>
    <col min="5902" max="5902" width="9.7109375" style="36" customWidth="1"/>
    <col min="5903" max="5903" width="26.5703125" style="36" bestFit="1" customWidth="1"/>
    <col min="5904" max="5904" width="43.140625" style="36" customWidth="1"/>
    <col min="5905" max="5905" width="22.5703125" style="36" customWidth="1"/>
    <col min="5906" max="5906" width="10" style="36" customWidth="1"/>
    <col min="5907" max="5914" width="6.7109375" style="36" customWidth="1"/>
    <col min="5915" max="6144" width="8.7109375" style="36"/>
    <col min="6145" max="6145" width="66" style="36" customWidth="1"/>
    <col min="6146" max="6146" width="15" style="36" customWidth="1"/>
    <col min="6147" max="6147" width="8.7109375" style="36"/>
    <col min="6148" max="6148" width="11.42578125" style="36" customWidth="1"/>
    <col min="6149" max="6149" width="9.42578125" style="36" customWidth="1"/>
    <col min="6150" max="6150" width="9.7109375" style="36" bestFit="1" customWidth="1"/>
    <col min="6151" max="6151" width="8.7109375" style="36"/>
    <col min="6152" max="6152" width="25" style="36" customWidth="1"/>
    <col min="6153" max="6153" width="9.5703125" style="36" customWidth="1"/>
    <col min="6154" max="6154" width="8.7109375" style="36"/>
    <col min="6155" max="6155" width="15.7109375" style="36" customWidth="1"/>
    <col min="6156" max="6156" width="11.28515625" style="36" bestFit="1" customWidth="1"/>
    <col min="6157" max="6157" width="12.140625" style="36" customWidth="1"/>
    <col min="6158" max="6158" width="9.7109375" style="36" customWidth="1"/>
    <col min="6159" max="6159" width="26.5703125" style="36" bestFit="1" customWidth="1"/>
    <col min="6160" max="6160" width="43.140625" style="36" customWidth="1"/>
    <col min="6161" max="6161" width="22.5703125" style="36" customWidth="1"/>
    <col min="6162" max="6162" width="10" style="36" customWidth="1"/>
    <col min="6163" max="6170" width="6.7109375" style="36" customWidth="1"/>
    <col min="6171" max="6400" width="8.7109375" style="36"/>
    <col min="6401" max="6401" width="66" style="36" customWidth="1"/>
    <col min="6402" max="6402" width="15" style="36" customWidth="1"/>
    <col min="6403" max="6403" width="8.7109375" style="36"/>
    <col min="6404" max="6404" width="11.42578125" style="36" customWidth="1"/>
    <col min="6405" max="6405" width="9.42578125" style="36" customWidth="1"/>
    <col min="6406" max="6406" width="9.7109375" style="36" bestFit="1" customWidth="1"/>
    <col min="6407" max="6407" width="8.7109375" style="36"/>
    <col min="6408" max="6408" width="25" style="36" customWidth="1"/>
    <col min="6409" max="6409" width="9.5703125" style="36" customWidth="1"/>
    <col min="6410" max="6410" width="8.7109375" style="36"/>
    <col min="6411" max="6411" width="15.7109375" style="36" customWidth="1"/>
    <col min="6412" max="6412" width="11.28515625" style="36" bestFit="1" customWidth="1"/>
    <col min="6413" max="6413" width="12.140625" style="36" customWidth="1"/>
    <col min="6414" max="6414" width="9.7109375" style="36" customWidth="1"/>
    <col min="6415" max="6415" width="26.5703125" style="36" bestFit="1" customWidth="1"/>
    <col min="6416" max="6416" width="43.140625" style="36" customWidth="1"/>
    <col min="6417" max="6417" width="22.5703125" style="36" customWidth="1"/>
    <col min="6418" max="6418" width="10" style="36" customWidth="1"/>
    <col min="6419" max="6426" width="6.7109375" style="36" customWidth="1"/>
    <col min="6427" max="6656" width="8.7109375" style="36"/>
    <col min="6657" max="6657" width="66" style="36" customWidth="1"/>
    <col min="6658" max="6658" width="15" style="36" customWidth="1"/>
    <col min="6659" max="6659" width="8.7109375" style="36"/>
    <col min="6660" max="6660" width="11.42578125" style="36" customWidth="1"/>
    <col min="6661" max="6661" width="9.42578125" style="36" customWidth="1"/>
    <col min="6662" max="6662" width="9.7109375" style="36" bestFit="1" customWidth="1"/>
    <col min="6663" max="6663" width="8.7109375" style="36"/>
    <col min="6664" max="6664" width="25" style="36" customWidth="1"/>
    <col min="6665" max="6665" width="9.5703125" style="36" customWidth="1"/>
    <col min="6666" max="6666" width="8.7109375" style="36"/>
    <col min="6667" max="6667" width="15.7109375" style="36" customWidth="1"/>
    <col min="6668" max="6668" width="11.28515625" style="36" bestFit="1" customWidth="1"/>
    <col min="6669" max="6669" width="12.140625" style="36" customWidth="1"/>
    <col min="6670" max="6670" width="9.7109375" style="36" customWidth="1"/>
    <col min="6671" max="6671" width="26.5703125" style="36" bestFit="1" customWidth="1"/>
    <col min="6672" max="6672" width="43.140625" style="36" customWidth="1"/>
    <col min="6673" max="6673" width="22.5703125" style="36" customWidth="1"/>
    <col min="6674" max="6674" width="10" style="36" customWidth="1"/>
    <col min="6675" max="6682" width="6.7109375" style="36" customWidth="1"/>
    <col min="6683" max="6912" width="8.7109375" style="36"/>
    <col min="6913" max="6913" width="66" style="36" customWidth="1"/>
    <col min="6914" max="6914" width="15" style="36" customWidth="1"/>
    <col min="6915" max="6915" width="8.7109375" style="36"/>
    <col min="6916" max="6916" width="11.42578125" style="36" customWidth="1"/>
    <col min="6917" max="6917" width="9.42578125" style="36" customWidth="1"/>
    <col min="6918" max="6918" width="9.7109375" style="36" bestFit="1" customWidth="1"/>
    <col min="6919" max="6919" width="8.7109375" style="36"/>
    <col min="6920" max="6920" width="25" style="36" customWidth="1"/>
    <col min="6921" max="6921" width="9.5703125" style="36" customWidth="1"/>
    <col min="6922" max="6922" width="8.7109375" style="36"/>
    <col min="6923" max="6923" width="15.7109375" style="36" customWidth="1"/>
    <col min="6924" max="6924" width="11.28515625" style="36" bestFit="1" customWidth="1"/>
    <col min="6925" max="6925" width="12.140625" style="36" customWidth="1"/>
    <col min="6926" max="6926" width="9.7109375" style="36" customWidth="1"/>
    <col min="6927" max="6927" width="26.5703125" style="36" bestFit="1" customWidth="1"/>
    <col min="6928" max="6928" width="43.140625" style="36" customWidth="1"/>
    <col min="6929" max="6929" width="22.5703125" style="36" customWidth="1"/>
    <col min="6930" max="6930" width="10" style="36" customWidth="1"/>
    <col min="6931" max="6938" width="6.7109375" style="36" customWidth="1"/>
    <col min="6939" max="7168" width="8.7109375" style="36"/>
    <col min="7169" max="7169" width="66" style="36" customWidth="1"/>
    <col min="7170" max="7170" width="15" style="36" customWidth="1"/>
    <col min="7171" max="7171" width="8.7109375" style="36"/>
    <col min="7172" max="7172" width="11.42578125" style="36" customWidth="1"/>
    <col min="7173" max="7173" width="9.42578125" style="36" customWidth="1"/>
    <col min="7174" max="7174" width="9.7109375" style="36" bestFit="1" customWidth="1"/>
    <col min="7175" max="7175" width="8.7109375" style="36"/>
    <col min="7176" max="7176" width="25" style="36" customWidth="1"/>
    <col min="7177" max="7177" width="9.5703125" style="36" customWidth="1"/>
    <col min="7178" max="7178" width="8.7109375" style="36"/>
    <col min="7179" max="7179" width="15.7109375" style="36" customWidth="1"/>
    <col min="7180" max="7180" width="11.28515625" style="36" bestFit="1" customWidth="1"/>
    <col min="7181" max="7181" width="12.140625" style="36" customWidth="1"/>
    <col min="7182" max="7182" width="9.7109375" style="36" customWidth="1"/>
    <col min="7183" max="7183" width="26.5703125" style="36" bestFit="1" customWidth="1"/>
    <col min="7184" max="7184" width="43.140625" style="36" customWidth="1"/>
    <col min="7185" max="7185" width="22.5703125" style="36" customWidth="1"/>
    <col min="7186" max="7186" width="10" style="36" customWidth="1"/>
    <col min="7187" max="7194" width="6.7109375" style="36" customWidth="1"/>
    <col min="7195" max="7424" width="8.7109375" style="36"/>
    <col min="7425" max="7425" width="66" style="36" customWidth="1"/>
    <col min="7426" max="7426" width="15" style="36" customWidth="1"/>
    <col min="7427" max="7427" width="8.7109375" style="36"/>
    <col min="7428" max="7428" width="11.42578125" style="36" customWidth="1"/>
    <col min="7429" max="7429" width="9.42578125" style="36" customWidth="1"/>
    <col min="7430" max="7430" width="9.7109375" style="36" bestFit="1" customWidth="1"/>
    <col min="7431" max="7431" width="8.7109375" style="36"/>
    <col min="7432" max="7432" width="25" style="36" customWidth="1"/>
    <col min="7433" max="7433" width="9.5703125" style="36" customWidth="1"/>
    <col min="7434" max="7434" width="8.7109375" style="36"/>
    <col min="7435" max="7435" width="15.7109375" style="36" customWidth="1"/>
    <col min="7436" max="7436" width="11.28515625" style="36" bestFit="1" customWidth="1"/>
    <col min="7437" max="7437" width="12.140625" style="36" customWidth="1"/>
    <col min="7438" max="7438" width="9.7109375" style="36" customWidth="1"/>
    <col min="7439" max="7439" width="26.5703125" style="36" bestFit="1" customWidth="1"/>
    <col min="7440" max="7440" width="43.140625" style="36" customWidth="1"/>
    <col min="7441" max="7441" width="22.5703125" style="36" customWidth="1"/>
    <col min="7442" max="7442" width="10" style="36" customWidth="1"/>
    <col min="7443" max="7450" width="6.7109375" style="36" customWidth="1"/>
    <col min="7451" max="7680" width="8.7109375" style="36"/>
    <col min="7681" max="7681" width="66" style="36" customWidth="1"/>
    <col min="7682" max="7682" width="15" style="36" customWidth="1"/>
    <col min="7683" max="7683" width="8.7109375" style="36"/>
    <col min="7684" max="7684" width="11.42578125" style="36" customWidth="1"/>
    <col min="7685" max="7685" width="9.42578125" style="36" customWidth="1"/>
    <col min="7686" max="7686" width="9.7109375" style="36" bestFit="1" customWidth="1"/>
    <col min="7687" max="7687" width="8.7109375" style="36"/>
    <col min="7688" max="7688" width="25" style="36" customWidth="1"/>
    <col min="7689" max="7689" width="9.5703125" style="36" customWidth="1"/>
    <col min="7690" max="7690" width="8.7109375" style="36"/>
    <col min="7691" max="7691" width="15.7109375" style="36" customWidth="1"/>
    <col min="7692" max="7692" width="11.28515625" style="36" bestFit="1" customWidth="1"/>
    <col min="7693" max="7693" width="12.140625" style="36" customWidth="1"/>
    <col min="7694" max="7694" width="9.7109375" style="36" customWidth="1"/>
    <col min="7695" max="7695" width="26.5703125" style="36" bestFit="1" customWidth="1"/>
    <col min="7696" max="7696" width="43.140625" style="36" customWidth="1"/>
    <col min="7697" max="7697" width="22.5703125" style="36" customWidth="1"/>
    <col min="7698" max="7698" width="10" style="36" customWidth="1"/>
    <col min="7699" max="7706" width="6.7109375" style="36" customWidth="1"/>
    <col min="7707" max="7936" width="8.7109375" style="36"/>
    <col min="7937" max="7937" width="66" style="36" customWidth="1"/>
    <col min="7938" max="7938" width="15" style="36" customWidth="1"/>
    <col min="7939" max="7939" width="8.7109375" style="36"/>
    <col min="7940" max="7940" width="11.42578125" style="36" customWidth="1"/>
    <col min="7941" max="7941" width="9.42578125" style="36" customWidth="1"/>
    <col min="7942" max="7942" width="9.7109375" style="36" bestFit="1" customWidth="1"/>
    <col min="7943" max="7943" width="8.7109375" style="36"/>
    <col min="7944" max="7944" width="25" style="36" customWidth="1"/>
    <col min="7945" max="7945" width="9.5703125" style="36" customWidth="1"/>
    <col min="7946" max="7946" width="8.7109375" style="36"/>
    <col min="7947" max="7947" width="15.7109375" style="36" customWidth="1"/>
    <col min="7948" max="7948" width="11.28515625" style="36" bestFit="1" customWidth="1"/>
    <col min="7949" max="7949" width="12.140625" style="36" customWidth="1"/>
    <col min="7950" max="7950" width="9.7109375" style="36" customWidth="1"/>
    <col min="7951" max="7951" width="26.5703125" style="36" bestFit="1" customWidth="1"/>
    <col min="7952" max="7952" width="43.140625" style="36" customWidth="1"/>
    <col min="7953" max="7953" width="22.5703125" style="36" customWidth="1"/>
    <col min="7954" max="7954" width="10" style="36" customWidth="1"/>
    <col min="7955" max="7962" width="6.7109375" style="36" customWidth="1"/>
    <col min="7963" max="8192" width="8.7109375" style="36"/>
    <col min="8193" max="8193" width="66" style="36" customWidth="1"/>
    <col min="8194" max="8194" width="15" style="36" customWidth="1"/>
    <col min="8195" max="8195" width="8.7109375" style="36"/>
    <col min="8196" max="8196" width="11.42578125" style="36" customWidth="1"/>
    <col min="8197" max="8197" width="9.42578125" style="36" customWidth="1"/>
    <col min="8198" max="8198" width="9.7109375" style="36" bestFit="1" customWidth="1"/>
    <col min="8199" max="8199" width="8.7109375" style="36"/>
    <col min="8200" max="8200" width="25" style="36" customWidth="1"/>
    <col min="8201" max="8201" width="9.5703125" style="36" customWidth="1"/>
    <col min="8202" max="8202" width="8.7109375" style="36"/>
    <col min="8203" max="8203" width="15.7109375" style="36" customWidth="1"/>
    <col min="8204" max="8204" width="11.28515625" style="36" bestFit="1" customWidth="1"/>
    <col min="8205" max="8205" width="12.140625" style="36" customWidth="1"/>
    <col min="8206" max="8206" width="9.7109375" style="36" customWidth="1"/>
    <col min="8207" max="8207" width="26.5703125" style="36" bestFit="1" customWidth="1"/>
    <col min="8208" max="8208" width="43.140625" style="36" customWidth="1"/>
    <col min="8209" max="8209" width="22.5703125" style="36" customWidth="1"/>
    <col min="8210" max="8210" width="10" style="36" customWidth="1"/>
    <col min="8211" max="8218" width="6.7109375" style="36" customWidth="1"/>
    <col min="8219" max="8448" width="8.7109375" style="36"/>
    <col min="8449" max="8449" width="66" style="36" customWidth="1"/>
    <col min="8450" max="8450" width="15" style="36" customWidth="1"/>
    <col min="8451" max="8451" width="8.7109375" style="36"/>
    <col min="8452" max="8452" width="11.42578125" style="36" customWidth="1"/>
    <col min="8453" max="8453" width="9.42578125" style="36" customWidth="1"/>
    <col min="8454" max="8454" width="9.7109375" style="36" bestFit="1" customWidth="1"/>
    <col min="8455" max="8455" width="8.7109375" style="36"/>
    <col min="8456" max="8456" width="25" style="36" customWidth="1"/>
    <col min="8457" max="8457" width="9.5703125" style="36" customWidth="1"/>
    <col min="8458" max="8458" width="8.7109375" style="36"/>
    <col min="8459" max="8459" width="15.7109375" style="36" customWidth="1"/>
    <col min="8460" max="8460" width="11.28515625" style="36" bestFit="1" customWidth="1"/>
    <col min="8461" max="8461" width="12.140625" style="36" customWidth="1"/>
    <col min="8462" max="8462" width="9.7109375" style="36" customWidth="1"/>
    <col min="8463" max="8463" width="26.5703125" style="36" bestFit="1" customWidth="1"/>
    <col min="8464" max="8464" width="43.140625" style="36" customWidth="1"/>
    <col min="8465" max="8465" width="22.5703125" style="36" customWidth="1"/>
    <col min="8466" max="8466" width="10" style="36" customWidth="1"/>
    <col min="8467" max="8474" width="6.7109375" style="36" customWidth="1"/>
    <col min="8475" max="8704" width="8.7109375" style="36"/>
    <col min="8705" max="8705" width="66" style="36" customWidth="1"/>
    <col min="8706" max="8706" width="15" style="36" customWidth="1"/>
    <col min="8707" max="8707" width="8.7109375" style="36"/>
    <col min="8708" max="8708" width="11.42578125" style="36" customWidth="1"/>
    <col min="8709" max="8709" width="9.42578125" style="36" customWidth="1"/>
    <col min="8710" max="8710" width="9.7109375" style="36" bestFit="1" customWidth="1"/>
    <col min="8711" max="8711" width="8.7109375" style="36"/>
    <col min="8712" max="8712" width="25" style="36" customWidth="1"/>
    <col min="8713" max="8713" width="9.5703125" style="36" customWidth="1"/>
    <col min="8714" max="8714" width="8.7109375" style="36"/>
    <col min="8715" max="8715" width="15.7109375" style="36" customWidth="1"/>
    <col min="8716" max="8716" width="11.28515625" style="36" bestFit="1" customWidth="1"/>
    <col min="8717" max="8717" width="12.140625" style="36" customWidth="1"/>
    <col min="8718" max="8718" width="9.7109375" style="36" customWidth="1"/>
    <col min="8719" max="8719" width="26.5703125" style="36" bestFit="1" customWidth="1"/>
    <col min="8720" max="8720" width="43.140625" style="36" customWidth="1"/>
    <col min="8721" max="8721" width="22.5703125" style="36" customWidth="1"/>
    <col min="8722" max="8722" width="10" style="36" customWidth="1"/>
    <col min="8723" max="8730" width="6.7109375" style="36" customWidth="1"/>
    <col min="8731" max="8960" width="8.7109375" style="36"/>
    <col min="8961" max="8961" width="66" style="36" customWidth="1"/>
    <col min="8962" max="8962" width="15" style="36" customWidth="1"/>
    <col min="8963" max="8963" width="8.7109375" style="36"/>
    <col min="8964" max="8964" width="11.42578125" style="36" customWidth="1"/>
    <col min="8965" max="8965" width="9.42578125" style="36" customWidth="1"/>
    <col min="8966" max="8966" width="9.7109375" style="36" bestFit="1" customWidth="1"/>
    <col min="8967" max="8967" width="8.7109375" style="36"/>
    <col min="8968" max="8968" width="25" style="36" customWidth="1"/>
    <col min="8969" max="8969" width="9.5703125" style="36" customWidth="1"/>
    <col min="8970" max="8970" width="8.7109375" style="36"/>
    <col min="8971" max="8971" width="15.7109375" style="36" customWidth="1"/>
    <col min="8972" max="8972" width="11.28515625" style="36" bestFit="1" customWidth="1"/>
    <col min="8973" max="8973" width="12.140625" style="36" customWidth="1"/>
    <col min="8974" max="8974" width="9.7109375" style="36" customWidth="1"/>
    <col min="8975" max="8975" width="26.5703125" style="36" bestFit="1" customWidth="1"/>
    <col min="8976" max="8976" width="43.140625" style="36" customWidth="1"/>
    <col min="8977" max="8977" width="22.5703125" style="36" customWidth="1"/>
    <col min="8978" max="8978" width="10" style="36" customWidth="1"/>
    <col min="8979" max="8986" width="6.7109375" style="36" customWidth="1"/>
    <col min="8987" max="9216" width="8.7109375" style="36"/>
    <col min="9217" max="9217" width="66" style="36" customWidth="1"/>
    <col min="9218" max="9218" width="15" style="36" customWidth="1"/>
    <col min="9219" max="9219" width="8.7109375" style="36"/>
    <col min="9220" max="9220" width="11.42578125" style="36" customWidth="1"/>
    <col min="9221" max="9221" width="9.42578125" style="36" customWidth="1"/>
    <col min="9222" max="9222" width="9.7109375" style="36" bestFit="1" customWidth="1"/>
    <col min="9223" max="9223" width="8.7109375" style="36"/>
    <col min="9224" max="9224" width="25" style="36" customWidth="1"/>
    <col min="9225" max="9225" width="9.5703125" style="36" customWidth="1"/>
    <col min="9226" max="9226" width="8.7109375" style="36"/>
    <col min="9227" max="9227" width="15.7109375" style="36" customWidth="1"/>
    <col min="9228" max="9228" width="11.28515625" style="36" bestFit="1" customWidth="1"/>
    <col min="9229" max="9229" width="12.140625" style="36" customWidth="1"/>
    <col min="9230" max="9230" width="9.7109375" style="36" customWidth="1"/>
    <col min="9231" max="9231" width="26.5703125" style="36" bestFit="1" customWidth="1"/>
    <col min="9232" max="9232" width="43.140625" style="36" customWidth="1"/>
    <col min="9233" max="9233" width="22.5703125" style="36" customWidth="1"/>
    <col min="9234" max="9234" width="10" style="36" customWidth="1"/>
    <col min="9235" max="9242" width="6.7109375" style="36" customWidth="1"/>
    <col min="9243" max="9472" width="8.7109375" style="36"/>
    <col min="9473" max="9473" width="66" style="36" customWidth="1"/>
    <col min="9474" max="9474" width="15" style="36" customWidth="1"/>
    <col min="9475" max="9475" width="8.7109375" style="36"/>
    <col min="9476" max="9476" width="11.42578125" style="36" customWidth="1"/>
    <col min="9477" max="9477" width="9.42578125" style="36" customWidth="1"/>
    <col min="9478" max="9478" width="9.7109375" style="36" bestFit="1" customWidth="1"/>
    <col min="9479" max="9479" width="8.7109375" style="36"/>
    <col min="9480" max="9480" width="25" style="36" customWidth="1"/>
    <col min="9481" max="9481" width="9.5703125" style="36" customWidth="1"/>
    <col min="9482" max="9482" width="8.7109375" style="36"/>
    <col min="9483" max="9483" width="15.7109375" style="36" customWidth="1"/>
    <col min="9484" max="9484" width="11.28515625" style="36" bestFit="1" customWidth="1"/>
    <col min="9485" max="9485" width="12.140625" style="36" customWidth="1"/>
    <col min="9486" max="9486" width="9.7109375" style="36" customWidth="1"/>
    <col min="9487" max="9487" width="26.5703125" style="36" bestFit="1" customWidth="1"/>
    <col min="9488" max="9488" width="43.140625" style="36" customWidth="1"/>
    <col min="9489" max="9489" width="22.5703125" style="36" customWidth="1"/>
    <col min="9490" max="9490" width="10" style="36" customWidth="1"/>
    <col min="9491" max="9498" width="6.7109375" style="36" customWidth="1"/>
    <col min="9499" max="9728" width="8.7109375" style="36"/>
    <col min="9729" max="9729" width="66" style="36" customWidth="1"/>
    <col min="9730" max="9730" width="15" style="36" customWidth="1"/>
    <col min="9731" max="9731" width="8.7109375" style="36"/>
    <col min="9732" max="9732" width="11.42578125" style="36" customWidth="1"/>
    <col min="9733" max="9733" width="9.42578125" style="36" customWidth="1"/>
    <col min="9734" max="9734" width="9.7109375" style="36" bestFit="1" customWidth="1"/>
    <col min="9735" max="9735" width="8.7109375" style="36"/>
    <col min="9736" max="9736" width="25" style="36" customWidth="1"/>
    <col min="9737" max="9737" width="9.5703125" style="36" customWidth="1"/>
    <col min="9738" max="9738" width="8.7109375" style="36"/>
    <col min="9739" max="9739" width="15.7109375" style="36" customWidth="1"/>
    <col min="9740" max="9740" width="11.28515625" style="36" bestFit="1" customWidth="1"/>
    <col min="9741" max="9741" width="12.140625" style="36" customWidth="1"/>
    <col min="9742" max="9742" width="9.7109375" style="36" customWidth="1"/>
    <col min="9743" max="9743" width="26.5703125" style="36" bestFit="1" customWidth="1"/>
    <col min="9744" max="9744" width="43.140625" style="36" customWidth="1"/>
    <col min="9745" max="9745" width="22.5703125" style="36" customWidth="1"/>
    <col min="9746" max="9746" width="10" style="36" customWidth="1"/>
    <col min="9747" max="9754" width="6.7109375" style="36" customWidth="1"/>
    <col min="9755" max="9984" width="8.7109375" style="36"/>
    <col min="9985" max="9985" width="66" style="36" customWidth="1"/>
    <col min="9986" max="9986" width="15" style="36" customWidth="1"/>
    <col min="9987" max="9987" width="8.7109375" style="36"/>
    <col min="9988" max="9988" width="11.42578125" style="36" customWidth="1"/>
    <col min="9989" max="9989" width="9.42578125" style="36" customWidth="1"/>
    <col min="9990" max="9990" width="9.7109375" style="36" bestFit="1" customWidth="1"/>
    <col min="9991" max="9991" width="8.7109375" style="36"/>
    <col min="9992" max="9992" width="25" style="36" customWidth="1"/>
    <col min="9993" max="9993" width="9.5703125" style="36" customWidth="1"/>
    <col min="9994" max="9994" width="8.7109375" style="36"/>
    <col min="9995" max="9995" width="15.7109375" style="36" customWidth="1"/>
    <col min="9996" max="9996" width="11.28515625" style="36" bestFit="1" customWidth="1"/>
    <col min="9997" max="9997" width="12.140625" style="36" customWidth="1"/>
    <col min="9998" max="9998" width="9.7109375" style="36" customWidth="1"/>
    <col min="9999" max="9999" width="26.5703125" style="36" bestFit="1" customWidth="1"/>
    <col min="10000" max="10000" width="43.140625" style="36" customWidth="1"/>
    <col min="10001" max="10001" width="22.5703125" style="36" customWidth="1"/>
    <col min="10002" max="10002" width="10" style="36" customWidth="1"/>
    <col min="10003" max="10010" width="6.7109375" style="36" customWidth="1"/>
    <col min="10011" max="10240" width="8.7109375" style="36"/>
    <col min="10241" max="10241" width="66" style="36" customWidth="1"/>
    <col min="10242" max="10242" width="15" style="36" customWidth="1"/>
    <col min="10243" max="10243" width="8.7109375" style="36"/>
    <col min="10244" max="10244" width="11.42578125" style="36" customWidth="1"/>
    <col min="10245" max="10245" width="9.42578125" style="36" customWidth="1"/>
    <col min="10246" max="10246" width="9.7109375" style="36" bestFit="1" customWidth="1"/>
    <col min="10247" max="10247" width="8.7109375" style="36"/>
    <col min="10248" max="10248" width="25" style="36" customWidth="1"/>
    <col min="10249" max="10249" width="9.5703125" style="36" customWidth="1"/>
    <col min="10250" max="10250" width="8.7109375" style="36"/>
    <col min="10251" max="10251" width="15.7109375" style="36" customWidth="1"/>
    <col min="10252" max="10252" width="11.28515625" style="36" bestFit="1" customWidth="1"/>
    <col min="10253" max="10253" width="12.140625" style="36" customWidth="1"/>
    <col min="10254" max="10254" width="9.7109375" style="36" customWidth="1"/>
    <col min="10255" max="10255" width="26.5703125" style="36" bestFit="1" customWidth="1"/>
    <col min="10256" max="10256" width="43.140625" style="36" customWidth="1"/>
    <col min="10257" max="10257" width="22.5703125" style="36" customWidth="1"/>
    <col min="10258" max="10258" width="10" style="36" customWidth="1"/>
    <col min="10259" max="10266" width="6.7109375" style="36" customWidth="1"/>
    <col min="10267" max="10496" width="8.7109375" style="36"/>
    <col min="10497" max="10497" width="66" style="36" customWidth="1"/>
    <col min="10498" max="10498" width="15" style="36" customWidth="1"/>
    <col min="10499" max="10499" width="8.7109375" style="36"/>
    <col min="10500" max="10500" width="11.42578125" style="36" customWidth="1"/>
    <col min="10501" max="10501" width="9.42578125" style="36" customWidth="1"/>
    <col min="10502" max="10502" width="9.7109375" style="36" bestFit="1" customWidth="1"/>
    <col min="10503" max="10503" width="8.7109375" style="36"/>
    <col min="10504" max="10504" width="25" style="36" customWidth="1"/>
    <col min="10505" max="10505" width="9.5703125" style="36" customWidth="1"/>
    <col min="10506" max="10506" width="8.7109375" style="36"/>
    <col min="10507" max="10507" width="15.7109375" style="36" customWidth="1"/>
    <col min="10508" max="10508" width="11.28515625" style="36" bestFit="1" customWidth="1"/>
    <col min="10509" max="10509" width="12.140625" style="36" customWidth="1"/>
    <col min="10510" max="10510" width="9.7109375" style="36" customWidth="1"/>
    <col min="10511" max="10511" width="26.5703125" style="36" bestFit="1" customWidth="1"/>
    <col min="10512" max="10512" width="43.140625" style="36" customWidth="1"/>
    <col min="10513" max="10513" width="22.5703125" style="36" customWidth="1"/>
    <col min="10514" max="10514" width="10" style="36" customWidth="1"/>
    <col min="10515" max="10522" width="6.7109375" style="36" customWidth="1"/>
    <col min="10523" max="10752" width="8.7109375" style="36"/>
    <col min="10753" max="10753" width="66" style="36" customWidth="1"/>
    <col min="10754" max="10754" width="15" style="36" customWidth="1"/>
    <col min="10755" max="10755" width="8.7109375" style="36"/>
    <col min="10756" max="10756" width="11.42578125" style="36" customWidth="1"/>
    <col min="10757" max="10757" width="9.42578125" style="36" customWidth="1"/>
    <col min="10758" max="10758" width="9.7109375" style="36" bestFit="1" customWidth="1"/>
    <col min="10759" max="10759" width="8.7109375" style="36"/>
    <col min="10760" max="10760" width="25" style="36" customWidth="1"/>
    <col min="10761" max="10761" width="9.5703125" style="36" customWidth="1"/>
    <col min="10762" max="10762" width="8.7109375" style="36"/>
    <col min="10763" max="10763" width="15.7109375" style="36" customWidth="1"/>
    <col min="10764" max="10764" width="11.28515625" style="36" bestFit="1" customWidth="1"/>
    <col min="10765" max="10765" width="12.140625" style="36" customWidth="1"/>
    <col min="10766" max="10766" width="9.7109375" style="36" customWidth="1"/>
    <col min="10767" max="10767" width="26.5703125" style="36" bestFit="1" customWidth="1"/>
    <col min="10768" max="10768" width="43.140625" style="36" customWidth="1"/>
    <col min="10769" max="10769" width="22.5703125" style="36" customWidth="1"/>
    <col min="10770" max="10770" width="10" style="36" customWidth="1"/>
    <col min="10771" max="10778" width="6.7109375" style="36" customWidth="1"/>
    <col min="10779" max="11008" width="8.7109375" style="36"/>
    <col min="11009" max="11009" width="66" style="36" customWidth="1"/>
    <col min="11010" max="11010" width="15" style="36" customWidth="1"/>
    <col min="11011" max="11011" width="8.7109375" style="36"/>
    <col min="11012" max="11012" width="11.42578125" style="36" customWidth="1"/>
    <col min="11013" max="11013" width="9.42578125" style="36" customWidth="1"/>
    <col min="11014" max="11014" width="9.7109375" style="36" bestFit="1" customWidth="1"/>
    <col min="11015" max="11015" width="8.7109375" style="36"/>
    <col min="11016" max="11016" width="25" style="36" customWidth="1"/>
    <col min="11017" max="11017" width="9.5703125" style="36" customWidth="1"/>
    <col min="11018" max="11018" width="8.7109375" style="36"/>
    <col min="11019" max="11019" width="15.7109375" style="36" customWidth="1"/>
    <col min="11020" max="11020" width="11.28515625" style="36" bestFit="1" customWidth="1"/>
    <col min="11021" max="11021" width="12.140625" style="36" customWidth="1"/>
    <col min="11022" max="11022" width="9.7109375" style="36" customWidth="1"/>
    <col min="11023" max="11023" width="26.5703125" style="36" bestFit="1" customWidth="1"/>
    <col min="11024" max="11024" width="43.140625" style="36" customWidth="1"/>
    <col min="11025" max="11025" width="22.5703125" style="36" customWidth="1"/>
    <col min="11026" max="11026" width="10" style="36" customWidth="1"/>
    <col min="11027" max="11034" width="6.7109375" style="36" customWidth="1"/>
    <col min="11035" max="11264" width="8.7109375" style="36"/>
    <col min="11265" max="11265" width="66" style="36" customWidth="1"/>
    <col min="11266" max="11266" width="15" style="36" customWidth="1"/>
    <col min="11267" max="11267" width="8.7109375" style="36"/>
    <col min="11268" max="11268" width="11.42578125" style="36" customWidth="1"/>
    <col min="11269" max="11269" width="9.42578125" style="36" customWidth="1"/>
    <col min="11270" max="11270" width="9.7109375" style="36" bestFit="1" customWidth="1"/>
    <col min="11271" max="11271" width="8.7109375" style="36"/>
    <col min="11272" max="11272" width="25" style="36" customWidth="1"/>
    <col min="11273" max="11273" width="9.5703125" style="36" customWidth="1"/>
    <col min="11274" max="11274" width="8.7109375" style="36"/>
    <col min="11275" max="11275" width="15.7109375" style="36" customWidth="1"/>
    <col min="11276" max="11276" width="11.28515625" style="36" bestFit="1" customWidth="1"/>
    <col min="11277" max="11277" width="12.140625" style="36" customWidth="1"/>
    <col min="11278" max="11278" width="9.7109375" style="36" customWidth="1"/>
    <col min="11279" max="11279" width="26.5703125" style="36" bestFit="1" customWidth="1"/>
    <col min="11280" max="11280" width="43.140625" style="36" customWidth="1"/>
    <col min="11281" max="11281" width="22.5703125" style="36" customWidth="1"/>
    <col min="11282" max="11282" width="10" style="36" customWidth="1"/>
    <col min="11283" max="11290" width="6.7109375" style="36" customWidth="1"/>
    <col min="11291" max="11520" width="8.7109375" style="36"/>
    <col min="11521" max="11521" width="66" style="36" customWidth="1"/>
    <col min="11522" max="11522" width="15" style="36" customWidth="1"/>
    <col min="11523" max="11523" width="8.7109375" style="36"/>
    <col min="11524" max="11524" width="11.42578125" style="36" customWidth="1"/>
    <col min="11525" max="11525" width="9.42578125" style="36" customWidth="1"/>
    <col min="11526" max="11526" width="9.7109375" style="36" bestFit="1" customWidth="1"/>
    <col min="11527" max="11527" width="8.7109375" style="36"/>
    <col min="11528" max="11528" width="25" style="36" customWidth="1"/>
    <col min="11529" max="11529" width="9.5703125" style="36" customWidth="1"/>
    <col min="11530" max="11530" width="8.7109375" style="36"/>
    <col min="11531" max="11531" width="15.7109375" style="36" customWidth="1"/>
    <col min="11532" max="11532" width="11.28515625" style="36" bestFit="1" customWidth="1"/>
    <col min="11533" max="11533" width="12.140625" style="36" customWidth="1"/>
    <col min="11534" max="11534" width="9.7109375" style="36" customWidth="1"/>
    <col min="11535" max="11535" width="26.5703125" style="36" bestFit="1" customWidth="1"/>
    <col min="11536" max="11536" width="43.140625" style="36" customWidth="1"/>
    <col min="11537" max="11537" width="22.5703125" style="36" customWidth="1"/>
    <col min="11538" max="11538" width="10" style="36" customWidth="1"/>
    <col min="11539" max="11546" width="6.7109375" style="36" customWidth="1"/>
    <col min="11547" max="11776" width="8.7109375" style="36"/>
    <col min="11777" max="11777" width="66" style="36" customWidth="1"/>
    <col min="11778" max="11778" width="15" style="36" customWidth="1"/>
    <col min="11779" max="11779" width="8.7109375" style="36"/>
    <col min="11780" max="11780" width="11.42578125" style="36" customWidth="1"/>
    <col min="11781" max="11781" width="9.42578125" style="36" customWidth="1"/>
    <col min="11782" max="11782" width="9.7109375" style="36" bestFit="1" customWidth="1"/>
    <col min="11783" max="11783" width="8.7109375" style="36"/>
    <col min="11784" max="11784" width="25" style="36" customWidth="1"/>
    <col min="11785" max="11785" width="9.5703125" style="36" customWidth="1"/>
    <col min="11786" max="11786" width="8.7109375" style="36"/>
    <col min="11787" max="11787" width="15.7109375" style="36" customWidth="1"/>
    <col min="11788" max="11788" width="11.28515625" style="36" bestFit="1" customWidth="1"/>
    <col min="11789" max="11789" width="12.140625" style="36" customWidth="1"/>
    <col min="11790" max="11790" width="9.7109375" style="36" customWidth="1"/>
    <col min="11791" max="11791" width="26.5703125" style="36" bestFit="1" customWidth="1"/>
    <col min="11792" max="11792" width="43.140625" style="36" customWidth="1"/>
    <col min="11793" max="11793" width="22.5703125" style="36" customWidth="1"/>
    <col min="11794" max="11794" width="10" style="36" customWidth="1"/>
    <col min="11795" max="11802" width="6.7109375" style="36" customWidth="1"/>
    <col min="11803" max="12032" width="8.7109375" style="36"/>
    <col min="12033" max="12033" width="66" style="36" customWidth="1"/>
    <col min="12034" max="12034" width="15" style="36" customWidth="1"/>
    <col min="12035" max="12035" width="8.7109375" style="36"/>
    <col min="12036" max="12036" width="11.42578125" style="36" customWidth="1"/>
    <col min="12037" max="12037" width="9.42578125" style="36" customWidth="1"/>
    <col min="12038" max="12038" width="9.7109375" style="36" bestFit="1" customWidth="1"/>
    <col min="12039" max="12039" width="8.7109375" style="36"/>
    <col min="12040" max="12040" width="25" style="36" customWidth="1"/>
    <col min="12041" max="12041" width="9.5703125" style="36" customWidth="1"/>
    <col min="12042" max="12042" width="8.7109375" style="36"/>
    <col min="12043" max="12043" width="15.7109375" style="36" customWidth="1"/>
    <col min="12044" max="12044" width="11.28515625" style="36" bestFit="1" customWidth="1"/>
    <col min="12045" max="12045" width="12.140625" style="36" customWidth="1"/>
    <col min="12046" max="12046" width="9.7109375" style="36" customWidth="1"/>
    <col min="12047" max="12047" width="26.5703125" style="36" bestFit="1" customWidth="1"/>
    <col min="12048" max="12048" width="43.140625" style="36" customWidth="1"/>
    <col min="12049" max="12049" width="22.5703125" style="36" customWidth="1"/>
    <col min="12050" max="12050" width="10" style="36" customWidth="1"/>
    <col min="12051" max="12058" width="6.7109375" style="36" customWidth="1"/>
    <col min="12059" max="12288" width="8.7109375" style="36"/>
    <col min="12289" max="12289" width="66" style="36" customWidth="1"/>
    <col min="12290" max="12290" width="15" style="36" customWidth="1"/>
    <col min="12291" max="12291" width="8.7109375" style="36"/>
    <col min="12292" max="12292" width="11.42578125" style="36" customWidth="1"/>
    <col min="12293" max="12293" width="9.42578125" style="36" customWidth="1"/>
    <col min="12294" max="12294" width="9.7109375" style="36" bestFit="1" customWidth="1"/>
    <col min="12295" max="12295" width="8.7109375" style="36"/>
    <col min="12296" max="12296" width="25" style="36" customWidth="1"/>
    <col min="12297" max="12297" width="9.5703125" style="36" customWidth="1"/>
    <col min="12298" max="12298" width="8.7109375" style="36"/>
    <col min="12299" max="12299" width="15.7109375" style="36" customWidth="1"/>
    <col min="12300" max="12300" width="11.28515625" style="36" bestFit="1" customWidth="1"/>
    <col min="12301" max="12301" width="12.140625" style="36" customWidth="1"/>
    <col min="12302" max="12302" width="9.7109375" style="36" customWidth="1"/>
    <col min="12303" max="12303" width="26.5703125" style="36" bestFit="1" customWidth="1"/>
    <col min="12304" max="12304" width="43.140625" style="36" customWidth="1"/>
    <col min="12305" max="12305" width="22.5703125" style="36" customWidth="1"/>
    <col min="12306" max="12306" width="10" style="36" customWidth="1"/>
    <col min="12307" max="12314" width="6.7109375" style="36" customWidth="1"/>
    <col min="12315" max="12544" width="8.7109375" style="36"/>
    <col min="12545" max="12545" width="66" style="36" customWidth="1"/>
    <col min="12546" max="12546" width="15" style="36" customWidth="1"/>
    <col min="12547" max="12547" width="8.7109375" style="36"/>
    <col min="12548" max="12548" width="11.42578125" style="36" customWidth="1"/>
    <col min="12549" max="12549" width="9.42578125" style="36" customWidth="1"/>
    <col min="12550" max="12550" width="9.7109375" style="36" bestFit="1" customWidth="1"/>
    <col min="12551" max="12551" width="8.7109375" style="36"/>
    <col min="12552" max="12552" width="25" style="36" customWidth="1"/>
    <col min="12553" max="12553" width="9.5703125" style="36" customWidth="1"/>
    <col min="12554" max="12554" width="8.7109375" style="36"/>
    <col min="12555" max="12555" width="15.7109375" style="36" customWidth="1"/>
    <col min="12556" max="12556" width="11.28515625" style="36" bestFit="1" customWidth="1"/>
    <col min="12557" max="12557" width="12.140625" style="36" customWidth="1"/>
    <col min="12558" max="12558" width="9.7109375" style="36" customWidth="1"/>
    <col min="12559" max="12559" width="26.5703125" style="36" bestFit="1" customWidth="1"/>
    <col min="12560" max="12560" width="43.140625" style="36" customWidth="1"/>
    <col min="12561" max="12561" width="22.5703125" style="36" customWidth="1"/>
    <col min="12562" max="12562" width="10" style="36" customWidth="1"/>
    <col min="12563" max="12570" width="6.7109375" style="36" customWidth="1"/>
    <col min="12571" max="12800" width="8.7109375" style="36"/>
    <col min="12801" max="12801" width="66" style="36" customWidth="1"/>
    <col min="12802" max="12802" width="15" style="36" customWidth="1"/>
    <col min="12803" max="12803" width="8.7109375" style="36"/>
    <col min="12804" max="12804" width="11.42578125" style="36" customWidth="1"/>
    <col min="12805" max="12805" width="9.42578125" style="36" customWidth="1"/>
    <col min="12806" max="12806" width="9.7109375" style="36" bestFit="1" customWidth="1"/>
    <col min="12807" max="12807" width="8.7109375" style="36"/>
    <col min="12808" max="12808" width="25" style="36" customWidth="1"/>
    <col min="12809" max="12809" width="9.5703125" style="36" customWidth="1"/>
    <col min="12810" max="12810" width="8.7109375" style="36"/>
    <col min="12811" max="12811" width="15.7109375" style="36" customWidth="1"/>
    <col min="12812" max="12812" width="11.28515625" style="36" bestFit="1" customWidth="1"/>
    <col min="12813" max="12813" width="12.140625" style="36" customWidth="1"/>
    <col min="12814" max="12814" width="9.7109375" style="36" customWidth="1"/>
    <col min="12815" max="12815" width="26.5703125" style="36" bestFit="1" customWidth="1"/>
    <col min="12816" max="12816" width="43.140625" style="36" customWidth="1"/>
    <col min="12817" max="12817" width="22.5703125" style="36" customWidth="1"/>
    <col min="12818" max="12818" width="10" style="36" customWidth="1"/>
    <col min="12819" max="12826" width="6.7109375" style="36" customWidth="1"/>
    <col min="12827" max="13056" width="8.7109375" style="36"/>
    <col min="13057" max="13057" width="66" style="36" customWidth="1"/>
    <col min="13058" max="13058" width="15" style="36" customWidth="1"/>
    <col min="13059" max="13059" width="8.7109375" style="36"/>
    <col min="13060" max="13060" width="11.42578125" style="36" customWidth="1"/>
    <col min="13061" max="13061" width="9.42578125" style="36" customWidth="1"/>
    <col min="13062" max="13062" width="9.7109375" style="36" bestFit="1" customWidth="1"/>
    <col min="13063" max="13063" width="8.7109375" style="36"/>
    <col min="13064" max="13064" width="25" style="36" customWidth="1"/>
    <col min="13065" max="13065" width="9.5703125" style="36" customWidth="1"/>
    <col min="13066" max="13066" width="8.7109375" style="36"/>
    <col min="13067" max="13067" width="15.7109375" style="36" customWidth="1"/>
    <col min="13068" max="13068" width="11.28515625" style="36" bestFit="1" customWidth="1"/>
    <col min="13069" max="13069" width="12.140625" style="36" customWidth="1"/>
    <col min="13070" max="13070" width="9.7109375" style="36" customWidth="1"/>
    <col min="13071" max="13071" width="26.5703125" style="36" bestFit="1" customWidth="1"/>
    <col min="13072" max="13072" width="43.140625" style="36" customWidth="1"/>
    <col min="13073" max="13073" width="22.5703125" style="36" customWidth="1"/>
    <col min="13074" max="13074" width="10" style="36" customWidth="1"/>
    <col min="13075" max="13082" width="6.7109375" style="36" customWidth="1"/>
    <col min="13083" max="13312" width="8.7109375" style="36"/>
    <col min="13313" max="13313" width="66" style="36" customWidth="1"/>
    <col min="13314" max="13314" width="15" style="36" customWidth="1"/>
    <col min="13315" max="13315" width="8.7109375" style="36"/>
    <col min="13316" max="13316" width="11.42578125" style="36" customWidth="1"/>
    <col min="13317" max="13317" width="9.42578125" style="36" customWidth="1"/>
    <col min="13318" max="13318" width="9.7109375" style="36" bestFit="1" customWidth="1"/>
    <col min="13319" max="13319" width="8.7109375" style="36"/>
    <col min="13320" max="13320" width="25" style="36" customWidth="1"/>
    <col min="13321" max="13321" width="9.5703125" style="36" customWidth="1"/>
    <col min="13322" max="13322" width="8.7109375" style="36"/>
    <col min="13323" max="13323" width="15.7109375" style="36" customWidth="1"/>
    <col min="13324" max="13324" width="11.28515625" style="36" bestFit="1" customWidth="1"/>
    <col min="13325" max="13325" width="12.140625" style="36" customWidth="1"/>
    <col min="13326" max="13326" width="9.7109375" style="36" customWidth="1"/>
    <col min="13327" max="13327" width="26.5703125" style="36" bestFit="1" customWidth="1"/>
    <col min="13328" max="13328" width="43.140625" style="36" customWidth="1"/>
    <col min="13329" max="13329" width="22.5703125" style="36" customWidth="1"/>
    <col min="13330" max="13330" width="10" style="36" customWidth="1"/>
    <col min="13331" max="13338" width="6.7109375" style="36" customWidth="1"/>
    <col min="13339" max="13568" width="8.7109375" style="36"/>
    <col min="13569" max="13569" width="66" style="36" customWidth="1"/>
    <col min="13570" max="13570" width="15" style="36" customWidth="1"/>
    <col min="13571" max="13571" width="8.7109375" style="36"/>
    <col min="13572" max="13572" width="11.42578125" style="36" customWidth="1"/>
    <col min="13573" max="13573" width="9.42578125" style="36" customWidth="1"/>
    <col min="13574" max="13574" width="9.7109375" style="36" bestFit="1" customWidth="1"/>
    <col min="13575" max="13575" width="8.7109375" style="36"/>
    <col min="13576" max="13576" width="25" style="36" customWidth="1"/>
    <col min="13577" max="13577" width="9.5703125" style="36" customWidth="1"/>
    <col min="13578" max="13578" width="8.7109375" style="36"/>
    <col min="13579" max="13579" width="15.7109375" style="36" customWidth="1"/>
    <col min="13580" max="13580" width="11.28515625" style="36" bestFit="1" customWidth="1"/>
    <col min="13581" max="13581" width="12.140625" style="36" customWidth="1"/>
    <col min="13582" max="13582" width="9.7109375" style="36" customWidth="1"/>
    <col min="13583" max="13583" width="26.5703125" style="36" bestFit="1" customWidth="1"/>
    <col min="13584" max="13584" width="43.140625" style="36" customWidth="1"/>
    <col min="13585" max="13585" width="22.5703125" style="36" customWidth="1"/>
    <col min="13586" max="13586" width="10" style="36" customWidth="1"/>
    <col min="13587" max="13594" width="6.7109375" style="36" customWidth="1"/>
    <col min="13595" max="13824" width="8.7109375" style="36"/>
    <col min="13825" max="13825" width="66" style="36" customWidth="1"/>
    <col min="13826" max="13826" width="15" style="36" customWidth="1"/>
    <col min="13827" max="13827" width="8.7109375" style="36"/>
    <col min="13828" max="13828" width="11.42578125" style="36" customWidth="1"/>
    <col min="13829" max="13829" width="9.42578125" style="36" customWidth="1"/>
    <col min="13830" max="13830" width="9.7109375" style="36" bestFit="1" customWidth="1"/>
    <col min="13831" max="13831" width="8.7109375" style="36"/>
    <col min="13832" max="13832" width="25" style="36" customWidth="1"/>
    <col min="13833" max="13833" width="9.5703125" style="36" customWidth="1"/>
    <col min="13834" max="13834" width="8.7109375" style="36"/>
    <col min="13835" max="13835" width="15.7109375" style="36" customWidth="1"/>
    <col min="13836" max="13836" width="11.28515625" style="36" bestFit="1" customWidth="1"/>
    <col min="13837" max="13837" width="12.140625" style="36" customWidth="1"/>
    <col min="13838" max="13838" width="9.7109375" style="36" customWidth="1"/>
    <col min="13839" max="13839" width="26.5703125" style="36" bestFit="1" customWidth="1"/>
    <col min="13840" max="13840" width="43.140625" style="36" customWidth="1"/>
    <col min="13841" max="13841" width="22.5703125" style="36" customWidth="1"/>
    <col min="13842" max="13842" width="10" style="36" customWidth="1"/>
    <col min="13843" max="13850" width="6.7109375" style="36" customWidth="1"/>
    <col min="13851" max="14080" width="8.7109375" style="36"/>
    <col min="14081" max="14081" width="66" style="36" customWidth="1"/>
    <col min="14082" max="14082" width="15" style="36" customWidth="1"/>
    <col min="14083" max="14083" width="8.7109375" style="36"/>
    <col min="14084" max="14084" width="11.42578125" style="36" customWidth="1"/>
    <col min="14085" max="14085" width="9.42578125" style="36" customWidth="1"/>
    <col min="14086" max="14086" width="9.7109375" style="36" bestFit="1" customWidth="1"/>
    <col min="14087" max="14087" width="8.7109375" style="36"/>
    <col min="14088" max="14088" width="25" style="36" customWidth="1"/>
    <col min="14089" max="14089" width="9.5703125" style="36" customWidth="1"/>
    <col min="14090" max="14090" width="8.7109375" style="36"/>
    <col min="14091" max="14091" width="15.7109375" style="36" customWidth="1"/>
    <col min="14092" max="14092" width="11.28515625" style="36" bestFit="1" customWidth="1"/>
    <col min="14093" max="14093" width="12.140625" style="36" customWidth="1"/>
    <col min="14094" max="14094" width="9.7109375" style="36" customWidth="1"/>
    <col min="14095" max="14095" width="26.5703125" style="36" bestFit="1" customWidth="1"/>
    <col min="14096" max="14096" width="43.140625" style="36" customWidth="1"/>
    <col min="14097" max="14097" width="22.5703125" style="36" customWidth="1"/>
    <col min="14098" max="14098" width="10" style="36" customWidth="1"/>
    <col min="14099" max="14106" width="6.7109375" style="36" customWidth="1"/>
    <col min="14107" max="14336" width="8.7109375" style="36"/>
    <col min="14337" max="14337" width="66" style="36" customWidth="1"/>
    <col min="14338" max="14338" width="15" style="36" customWidth="1"/>
    <col min="14339" max="14339" width="8.7109375" style="36"/>
    <col min="14340" max="14340" width="11.42578125" style="36" customWidth="1"/>
    <col min="14341" max="14341" width="9.42578125" style="36" customWidth="1"/>
    <col min="14342" max="14342" width="9.7109375" style="36" bestFit="1" customWidth="1"/>
    <col min="14343" max="14343" width="8.7109375" style="36"/>
    <col min="14344" max="14344" width="25" style="36" customWidth="1"/>
    <col min="14345" max="14345" width="9.5703125" style="36" customWidth="1"/>
    <col min="14346" max="14346" width="8.7109375" style="36"/>
    <col min="14347" max="14347" width="15.7109375" style="36" customWidth="1"/>
    <col min="14348" max="14348" width="11.28515625" style="36" bestFit="1" customWidth="1"/>
    <col min="14349" max="14349" width="12.140625" style="36" customWidth="1"/>
    <col min="14350" max="14350" width="9.7109375" style="36" customWidth="1"/>
    <col min="14351" max="14351" width="26.5703125" style="36" bestFit="1" customWidth="1"/>
    <col min="14352" max="14352" width="43.140625" style="36" customWidth="1"/>
    <col min="14353" max="14353" width="22.5703125" style="36" customWidth="1"/>
    <col min="14354" max="14354" width="10" style="36" customWidth="1"/>
    <col min="14355" max="14362" width="6.7109375" style="36" customWidth="1"/>
    <col min="14363" max="14592" width="8.7109375" style="36"/>
    <col min="14593" max="14593" width="66" style="36" customWidth="1"/>
    <col min="14594" max="14594" width="15" style="36" customWidth="1"/>
    <col min="14595" max="14595" width="8.7109375" style="36"/>
    <col min="14596" max="14596" width="11.42578125" style="36" customWidth="1"/>
    <col min="14597" max="14597" width="9.42578125" style="36" customWidth="1"/>
    <col min="14598" max="14598" width="9.7109375" style="36" bestFit="1" customWidth="1"/>
    <col min="14599" max="14599" width="8.7109375" style="36"/>
    <col min="14600" max="14600" width="25" style="36" customWidth="1"/>
    <col min="14601" max="14601" width="9.5703125" style="36" customWidth="1"/>
    <col min="14602" max="14602" width="8.7109375" style="36"/>
    <col min="14603" max="14603" width="15.7109375" style="36" customWidth="1"/>
    <col min="14604" max="14604" width="11.28515625" style="36" bestFit="1" customWidth="1"/>
    <col min="14605" max="14605" width="12.140625" style="36" customWidth="1"/>
    <col min="14606" max="14606" width="9.7109375" style="36" customWidth="1"/>
    <col min="14607" max="14607" width="26.5703125" style="36" bestFit="1" customWidth="1"/>
    <col min="14608" max="14608" width="43.140625" style="36" customWidth="1"/>
    <col min="14609" max="14609" width="22.5703125" style="36" customWidth="1"/>
    <col min="14610" max="14610" width="10" style="36" customWidth="1"/>
    <col min="14611" max="14618" width="6.7109375" style="36" customWidth="1"/>
    <col min="14619" max="14848" width="8.7109375" style="36"/>
    <col min="14849" max="14849" width="66" style="36" customWidth="1"/>
    <col min="14850" max="14850" width="15" style="36" customWidth="1"/>
    <col min="14851" max="14851" width="8.7109375" style="36"/>
    <col min="14852" max="14852" width="11.42578125" style="36" customWidth="1"/>
    <col min="14853" max="14853" width="9.42578125" style="36" customWidth="1"/>
    <col min="14854" max="14854" width="9.7109375" style="36" bestFit="1" customWidth="1"/>
    <col min="14855" max="14855" width="8.7109375" style="36"/>
    <col min="14856" max="14856" width="25" style="36" customWidth="1"/>
    <col min="14857" max="14857" width="9.5703125" style="36" customWidth="1"/>
    <col min="14858" max="14858" width="8.7109375" style="36"/>
    <col min="14859" max="14859" width="15.7109375" style="36" customWidth="1"/>
    <col min="14860" max="14860" width="11.28515625" style="36" bestFit="1" customWidth="1"/>
    <col min="14861" max="14861" width="12.140625" style="36" customWidth="1"/>
    <col min="14862" max="14862" width="9.7109375" style="36" customWidth="1"/>
    <col min="14863" max="14863" width="26.5703125" style="36" bestFit="1" customWidth="1"/>
    <col min="14864" max="14864" width="43.140625" style="36" customWidth="1"/>
    <col min="14865" max="14865" width="22.5703125" style="36" customWidth="1"/>
    <col min="14866" max="14866" width="10" style="36" customWidth="1"/>
    <col min="14867" max="14874" width="6.7109375" style="36" customWidth="1"/>
    <col min="14875" max="15104" width="8.7109375" style="36"/>
    <col min="15105" max="15105" width="66" style="36" customWidth="1"/>
    <col min="15106" max="15106" width="15" style="36" customWidth="1"/>
    <col min="15107" max="15107" width="8.7109375" style="36"/>
    <col min="15108" max="15108" width="11.42578125" style="36" customWidth="1"/>
    <col min="15109" max="15109" width="9.42578125" style="36" customWidth="1"/>
    <col min="15110" max="15110" width="9.7109375" style="36" bestFit="1" customWidth="1"/>
    <col min="15111" max="15111" width="8.7109375" style="36"/>
    <col min="15112" max="15112" width="25" style="36" customWidth="1"/>
    <col min="15113" max="15113" width="9.5703125" style="36" customWidth="1"/>
    <col min="15114" max="15114" width="8.7109375" style="36"/>
    <col min="15115" max="15115" width="15.7109375" style="36" customWidth="1"/>
    <col min="15116" max="15116" width="11.28515625" style="36" bestFit="1" customWidth="1"/>
    <col min="15117" max="15117" width="12.140625" style="36" customWidth="1"/>
    <col min="15118" max="15118" width="9.7109375" style="36" customWidth="1"/>
    <col min="15119" max="15119" width="26.5703125" style="36" bestFit="1" customWidth="1"/>
    <col min="15120" max="15120" width="43.140625" style="36" customWidth="1"/>
    <col min="15121" max="15121" width="22.5703125" style="36" customWidth="1"/>
    <col min="15122" max="15122" width="10" style="36" customWidth="1"/>
    <col min="15123" max="15130" width="6.7109375" style="36" customWidth="1"/>
    <col min="15131" max="15360" width="8.7109375" style="36"/>
    <col min="15361" max="15361" width="66" style="36" customWidth="1"/>
    <col min="15362" max="15362" width="15" style="36" customWidth="1"/>
    <col min="15363" max="15363" width="8.7109375" style="36"/>
    <col min="15364" max="15364" width="11.42578125" style="36" customWidth="1"/>
    <col min="15365" max="15365" width="9.42578125" style="36" customWidth="1"/>
    <col min="15366" max="15366" width="9.7109375" style="36" bestFit="1" customWidth="1"/>
    <col min="15367" max="15367" width="8.7109375" style="36"/>
    <col min="15368" max="15368" width="25" style="36" customWidth="1"/>
    <col min="15369" max="15369" width="9.5703125" style="36" customWidth="1"/>
    <col min="15370" max="15370" width="8.7109375" style="36"/>
    <col min="15371" max="15371" width="15.7109375" style="36" customWidth="1"/>
    <col min="15372" max="15372" width="11.28515625" style="36" bestFit="1" customWidth="1"/>
    <col min="15373" max="15373" width="12.140625" style="36" customWidth="1"/>
    <col min="15374" max="15374" width="9.7109375" style="36" customWidth="1"/>
    <col min="15375" max="15375" width="26.5703125" style="36" bestFit="1" customWidth="1"/>
    <col min="15376" max="15376" width="43.140625" style="36" customWidth="1"/>
    <col min="15377" max="15377" width="22.5703125" style="36" customWidth="1"/>
    <col min="15378" max="15378" width="10" style="36" customWidth="1"/>
    <col min="15379" max="15386" width="6.7109375" style="36" customWidth="1"/>
    <col min="15387" max="15616" width="8.7109375" style="36"/>
    <col min="15617" max="15617" width="66" style="36" customWidth="1"/>
    <col min="15618" max="15618" width="15" style="36" customWidth="1"/>
    <col min="15619" max="15619" width="8.7109375" style="36"/>
    <col min="15620" max="15620" width="11.42578125" style="36" customWidth="1"/>
    <col min="15621" max="15621" width="9.42578125" style="36" customWidth="1"/>
    <col min="15622" max="15622" width="9.7109375" style="36" bestFit="1" customWidth="1"/>
    <col min="15623" max="15623" width="8.7109375" style="36"/>
    <col min="15624" max="15624" width="25" style="36" customWidth="1"/>
    <col min="15625" max="15625" width="9.5703125" style="36" customWidth="1"/>
    <col min="15626" max="15626" width="8.7109375" style="36"/>
    <col min="15627" max="15627" width="15.7109375" style="36" customWidth="1"/>
    <col min="15628" max="15628" width="11.28515625" style="36" bestFit="1" customWidth="1"/>
    <col min="15629" max="15629" width="12.140625" style="36" customWidth="1"/>
    <col min="15630" max="15630" width="9.7109375" style="36" customWidth="1"/>
    <col min="15631" max="15631" width="26.5703125" style="36" bestFit="1" customWidth="1"/>
    <col min="15632" max="15632" width="43.140625" style="36" customWidth="1"/>
    <col min="15633" max="15633" width="22.5703125" style="36" customWidth="1"/>
    <col min="15634" max="15634" width="10" style="36" customWidth="1"/>
    <col min="15635" max="15642" width="6.7109375" style="36" customWidth="1"/>
    <col min="15643" max="15872" width="8.7109375" style="36"/>
    <col min="15873" max="15873" width="66" style="36" customWidth="1"/>
    <col min="15874" max="15874" width="15" style="36" customWidth="1"/>
    <col min="15875" max="15875" width="8.7109375" style="36"/>
    <col min="15876" max="15876" width="11.42578125" style="36" customWidth="1"/>
    <col min="15877" max="15877" width="9.42578125" style="36" customWidth="1"/>
    <col min="15878" max="15878" width="9.7109375" style="36" bestFit="1" customWidth="1"/>
    <col min="15879" max="15879" width="8.7109375" style="36"/>
    <col min="15880" max="15880" width="25" style="36" customWidth="1"/>
    <col min="15881" max="15881" width="9.5703125" style="36" customWidth="1"/>
    <col min="15882" max="15882" width="8.7109375" style="36"/>
    <col min="15883" max="15883" width="15.7109375" style="36" customWidth="1"/>
    <col min="15884" max="15884" width="11.28515625" style="36" bestFit="1" customWidth="1"/>
    <col min="15885" max="15885" width="12.140625" style="36" customWidth="1"/>
    <col min="15886" max="15886" width="9.7109375" style="36" customWidth="1"/>
    <col min="15887" max="15887" width="26.5703125" style="36" bestFit="1" customWidth="1"/>
    <col min="15888" max="15888" width="43.140625" style="36" customWidth="1"/>
    <col min="15889" max="15889" width="22.5703125" style="36" customWidth="1"/>
    <col min="15890" max="15890" width="10" style="36" customWidth="1"/>
    <col min="15891" max="15898" width="6.7109375" style="36" customWidth="1"/>
    <col min="15899" max="16128" width="8.7109375" style="36"/>
    <col min="16129" max="16129" width="66" style="36" customWidth="1"/>
    <col min="16130" max="16130" width="15" style="36" customWidth="1"/>
    <col min="16131" max="16131" width="8.7109375" style="36"/>
    <col min="16132" max="16132" width="11.42578125" style="36" customWidth="1"/>
    <col min="16133" max="16133" width="9.42578125" style="36" customWidth="1"/>
    <col min="16134" max="16134" width="9.7109375" style="36" bestFit="1" customWidth="1"/>
    <col min="16135" max="16135" width="8.7109375" style="36"/>
    <col min="16136" max="16136" width="25" style="36" customWidth="1"/>
    <col min="16137" max="16137" width="9.5703125" style="36" customWidth="1"/>
    <col min="16138" max="16138" width="8.7109375" style="36"/>
    <col min="16139" max="16139" width="15.7109375" style="36" customWidth="1"/>
    <col min="16140" max="16140" width="11.28515625" style="36" bestFit="1" customWidth="1"/>
    <col min="16141" max="16141" width="12.140625" style="36" customWidth="1"/>
    <col min="16142" max="16142" width="9.7109375" style="36" customWidth="1"/>
    <col min="16143" max="16143" width="26.5703125" style="36" bestFit="1" customWidth="1"/>
    <col min="16144" max="16144" width="43.140625" style="36" customWidth="1"/>
    <col min="16145" max="16145" width="22.5703125" style="36" customWidth="1"/>
    <col min="16146" max="16146" width="10" style="36" customWidth="1"/>
    <col min="16147" max="16154" width="6.7109375" style="36" customWidth="1"/>
    <col min="16155" max="16384" width="8.7109375" style="36"/>
  </cols>
  <sheetData>
    <row r="1" spans="1:17" ht="24.95" customHeight="1" thickBot="1">
      <c r="A1" s="1" t="s">
        <v>0</v>
      </c>
      <c r="B1" s="1">
        <v>1</v>
      </c>
      <c r="C1" s="2" t="s">
        <v>145</v>
      </c>
      <c r="H1" s="4" t="s">
        <v>1</v>
      </c>
      <c r="I1" s="5"/>
      <c r="J1" s="3"/>
      <c r="K1" s="3"/>
      <c r="L1" s="3"/>
      <c r="M1" s="3"/>
      <c r="N1" s="3"/>
      <c r="Q1" s="36" t="s">
        <v>314</v>
      </c>
    </row>
    <row r="2" spans="1:17" ht="15" customHeight="1" thickBot="1">
      <c r="A2" s="6"/>
      <c r="B2" s="7" t="s">
        <v>2</v>
      </c>
      <c r="C2" s="8"/>
      <c r="D2" s="251" t="s">
        <v>3</v>
      </c>
      <c r="E2" s="252"/>
      <c r="F2" s="253" t="s">
        <v>4</v>
      </c>
      <c r="H2" s="3"/>
      <c r="I2" s="3"/>
      <c r="J2" s="3"/>
      <c r="K2" s="3"/>
      <c r="L2" s="3"/>
      <c r="M2" s="3"/>
      <c r="N2" s="3"/>
      <c r="P2" s="490" t="s">
        <v>315</v>
      </c>
      <c r="Q2" s="491">
        <f>63984.4355555316+72014.0209116535</f>
        <v>135998.45646718511</v>
      </c>
    </row>
    <row r="3" spans="1:17" ht="15" customHeight="1">
      <c r="A3" s="9" t="s">
        <v>5</v>
      </c>
      <c r="B3" s="250">
        <f>63984.4355555316+72014.0209116535</f>
        <v>135998.45646718511</v>
      </c>
      <c r="C3" s="10">
        <f>SUM(C4:C5)</f>
        <v>1</v>
      </c>
      <c r="D3" s="255" t="e">
        <f>SUM(D4:D5)</f>
        <v>#VALUE!</v>
      </c>
      <c r="E3" s="254" t="e">
        <f>D3/$D$3</f>
        <v>#VALUE!</v>
      </c>
      <c r="F3" s="256" t="s">
        <v>6</v>
      </c>
      <c r="H3" s="9" t="s">
        <v>7</v>
      </c>
      <c r="I3" s="11">
        <v>0</v>
      </c>
      <c r="J3" s="12" t="s">
        <v>8</v>
      </c>
      <c r="K3" s="3"/>
      <c r="L3" s="13" t="s">
        <v>9</v>
      </c>
      <c r="M3" s="492">
        <v>0.47047913055520801</v>
      </c>
      <c r="N3" s="14">
        <f>(M3*B3)</f>
        <v>63984.435555531556</v>
      </c>
      <c r="O3" s="493"/>
      <c r="P3" s="494" t="s">
        <v>316</v>
      </c>
      <c r="Q3" s="495">
        <f>+[13]Resumen!$L$34</f>
        <v>11550.553836939009</v>
      </c>
    </row>
    <row r="4" spans="1:17" ht="15" customHeight="1">
      <c r="A4" s="15" t="s">
        <v>10</v>
      </c>
      <c r="B4" s="16">
        <f>C4*B3</f>
        <v>116312.67903253184</v>
      </c>
      <c r="C4" s="17">
        <v>0.85524999366883825</v>
      </c>
      <c r="D4" s="257" t="e">
        <f>SUMIFS([14]Ram!G2:G976,[14]Ram!C2:C976,230,[14]Ram!F2:F976,"S")</f>
        <v>#VALUE!</v>
      </c>
      <c r="E4" s="258" t="e">
        <f>D4/$D$3</f>
        <v>#VALUE!</v>
      </c>
      <c r="F4" s="259" t="e">
        <f>B4/D4</f>
        <v>#VALUE!</v>
      </c>
      <c r="H4" s="3"/>
      <c r="I4" s="3"/>
      <c r="J4" s="3"/>
      <c r="K4" s="3"/>
      <c r="L4" s="13" t="s">
        <v>11</v>
      </c>
      <c r="M4" s="492">
        <v>0.52952086944479193</v>
      </c>
      <c r="N4" s="14">
        <f>(M4*B3)</f>
        <v>72014.020911653541</v>
      </c>
      <c r="O4" s="493"/>
      <c r="P4" s="494" t="s">
        <v>317</v>
      </c>
      <c r="Q4" s="495">
        <f>+[15]Resumen!$L$34</f>
        <v>11550.553836939009</v>
      </c>
    </row>
    <row r="5" spans="1:17" ht="15" customHeight="1">
      <c r="A5" s="18" t="s">
        <v>12</v>
      </c>
      <c r="B5" s="19">
        <f>C5*B3</f>
        <v>19685.777434653271</v>
      </c>
      <c r="C5" s="20">
        <f>1-C4</f>
        <v>0.14475000633116175</v>
      </c>
      <c r="D5" s="260" t="e">
        <f>SUMIFS([14]Ram!G2:G976,[14]Ram!C2:C976,115,[14]Ram!F2:F976,"S")</f>
        <v>#VALUE!</v>
      </c>
      <c r="E5" s="261" t="e">
        <f>D5/$D$3</f>
        <v>#VALUE!</v>
      </c>
      <c r="F5" s="262" t="e">
        <f>B5/D5</f>
        <v>#VALUE!</v>
      </c>
      <c r="H5" s="3"/>
      <c r="I5" s="3"/>
      <c r="J5" s="3"/>
      <c r="K5" s="3"/>
      <c r="L5" s="3"/>
      <c r="M5" s="3"/>
      <c r="N5" s="3"/>
      <c r="P5" s="494" t="s">
        <v>318</v>
      </c>
      <c r="Q5" s="495">
        <f>+[16]Resumen!$L$34</f>
        <v>11177.955326070009</v>
      </c>
    </row>
    <row r="6" spans="1:17" ht="15" customHeight="1" thickBot="1">
      <c r="A6" s="21"/>
      <c r="B6" s="21"/>
      <c r="C6" s="22"/>
      <c r="E6" s="263"/>
      <c r="H6" s="3"/>
      <c r="I6" s="3"/>
      <c r="J6" s="3"/>
      <c r="K6" s="3"/>
      <c r="L6" s="23" t="s">
        <v>13</v>
      </c>
      <c r="M6" s="24">
        <f>[14]ENERGIA!L17</f>
        <v>0</v>
      </c>
      <c r="N6" s="25" t="s">
        <v>14</v>
      </c>
      <c r="P6" s="494" t="s">
        <v>319</v>
      </c>
      <c r="Q6" s="495">
        <f>+[17]Resumen!$L$34</f>
        <v>11550.553836939009</v>
      </c>
    </row>
    <row r="7" spans="1:17" ht="18.75" customHeight="1" thickBot="1">
      <c r="A7" s="26" t="s">
        <v>15</v>
      </c>
      <c r="B7" s="250"/>
      <c r="C7" s="10">
        <v>1</v>
      </c>
      <c r="D7" s="264" t="e">
        <f>SUMIF([14]Ram!F3:F976,"SD",[14]Ram!G3:G976)</f>
        <v>#VALUE!</v>
      </c>
      <c r="E7" s="254">
        <v>1</v>
      </c>
      <c r="F7" s="265">
        <f>IF(B7&gt;0,B7/D7,0)</f>
        <v>0</v>
      </c>
      <c r="G7" s="36" t="s">
        <v>138</v>
      </c>
      <c r="H7" s="9" t="s">
        <v>16</v>
      </c>
      <c r="I7" s="11">
        <v>0</v>
      </c>
      <c r="J7" s="12" t="s">
        <v>8</v>
      </c>
      <c r="K7" s="3"/>
      <c r="L7" s="27" t="s">
        <v>17</v>
      </c>
      <c r="M7" s="28">
        <f>[14]ENERGIA!L2</f>
        <v>0</v>
      </c>
      <c r="N7" s="29" t="s">
        <v>14</v>
      </c>
      <c r="P7" s="496" t="s">
        <v>320</v>
      </c>
      <c r="Q7" s="497">
        <f>+Q2-Q3-Q4-Q5-Q6</f>
        <v>90168.839630298069</v>
      </c>
    </row>
    <row r="9" spans="1:17" ht="15" customHeight="1">
      <c r="A9" s="532" t="s">
        <v>18</v>
      </c>
      <c r="B9" s="532"/>
      <c r="C9" s="532"/>
      <c r="D9" s="532"/>
      <c r="E9" s="532"/>
      <c r="F9" s="532"/>
      <c r="G9" s="532"/>
      <c r="H9" s="532"/>
      <c r="I9" s="532"/>
      <c r="J9" s="532"/>
      <c r="K9" s="532"/>
      <c r="L9" s="532"/>
    </row>
    <row r="10" spans="1:17" ht="15" customHeight="1">
      <c r="A10" s="266" t="s">
        <v>19</v>
      </c>
      <c r="B10" s="267">
        <v>1</v>
      </c>
      <c r="C10" s="268">
        <v>2</v>
      </c>
      <c r="D10" s="268">
        <v>3</v>
      </c>
      <c r="E10" s="268">
        <v>4</v>
      </c>
      <c r="F10" s="268">
        <v>5</v>
      </c>
      <c r="G10" s="268">
        <v>6</v>
      </c>
      <c r="H10" s="268">
        <v>7</v>
      </c>
      <c r="I10" s="268">
        <v>8</v>
      </c>
      <c r="J10" s="268">
        <v>9</v>
      </c>
      <c r="K10" s="269">
        <v>10</v>
      </c>
      <c r="L10" s="270" t="s">
        <v>20</v>
      </c>
      <c r="P10" s="498"/>
      <c r="Q10" s="493"/>
    </row>
    <row r="11" spans="1:17" ht="15" customHeight="1">
      <c r="A11" s="271" t="s">
        <v>21</v>
      </c>
      <c r="B11" s="272">
        <f t="shared" ref="B11:K11" si="0">SUMIF($G$17:$G$1036,B$10,$D$17:$D$1036)</f>
        <v>381.78000000000003</v>
      </c>
      <c r="C11" s="272">
        <f t="shared" si="0"/>
        <v>548.68000000000006</v>
      </c>
      <c r="D11" s="272">
        <f t="shared" si="0"/>
        <v>194.10000000000005</v>
      </c>
      <c r="E11" s="272">
        <f t="shared" si="0"/>
        <v>600.05477999999994</v>
      </c>
      <c r="F11" s="272">
        <f t="shared" si="0"/>
        <v>759.03666989999988</v>
      </c>
      <c r="G11" s="272">
        <f t="shared" si="0"/>
        <v>281.45999999999998</v>
      </c>
      <c r="H11" s="272">
        <f t="shared" si="0"/>
        <v>153.142</v>
      </c>
      <c r="I11" s="272">
        <f t="shared" si="0"/>
        <v>260</v>
      </c>
      <c r="J11" s="272">
        <f t="shared" si="0"/>
        <v>1376.25</v>
      </c>
      <c r="K11" s="272">
        <f t="shared" si="0"/>
        <v>254.8</v>
      </c>
      <c r="L11" s="273">
        <f>SUM(B11:K11)</f>
        <v>4809.3034498999996</v>
      </c>
      <c r="M11" s="281">
        <f>SUM(D17,D37,D45,D58,D117,D166,D188,D193,D196,D204)</f>
        <v>4809.3034498999996</v>
      </c>
      <c r="P11" s="498"/>
      <c r="Q11" s="493"/>
    </row>
    <row r="12" spans="1:17" ht="15" customHeight="1">
      <c r="A12" s="275" t="s">
        <v>22</v>
      </c>
      <c r="B12" s="276">
        <f t="shared" ref="B12:K12" ca="1" si="1">SUMIF($M$18:$M$988,B$10,$K$18:$K$987)</f>
        <v>25.58</v>
      </c>
      <c r="C12" s="276">
        <f t="shared" ca="1" si="1"/>
        <v>0</v>
      </c>
      <c r="D12" s="276">
        <f t="shared" ca="1" si="1"/>
        <v>0.09</v>
      </c>
      <c r="E12" s="276">
        <f t="shared" ca="1" si="1"/>
        <v>139.01</v>
      </c>
      <c r="F12" s="276">
        <f t="shared" ca="1" si="1"/>
        <v>224.36</v>
      </c>
      <c r="G12" s="276">
        <f t="shared" ca="1" si="1"/>
        <v>269.92999999999995</v>
      </c>
      <c r="H12" s="276">
        <f t="shared" ca="1" si="1"/>
        <v>1039.24</v>
      </c>
      <c r="I12" s="276">
        <f t="shared" ca="1" si="1"/>
        <v>1.5</v>
      </c>
      <c r="J12" s="276">
        <f t="shared" ca="1" si="1"/>
        <v>146.54999999999998</v>
      </c>
      <c r="K12" s="276">
        <f t="shared" ca="1" si="1"/>
        <v>53.870000000000005</v>
      </c>
      <c r="L12" s="277">
        <f ca="1">SUM(B12:K12)</f>
        <v>1900.13</v>
      </c>
      <c r="M12" s="274">
        <f>SUM(K17,K22,K24,K28,K33,K43,K51,K71,K75,K82)</f>
        <v>1900.13</v>
      </c>
      <c r="O12" s="499"/>
    </row>
    <row r="13" spans="1:17" ht="15" customHeight="1">
      <c r="M13" s="278"/>
      <c r="O13" s="499"/>
    </row>
    <row r="15" spans="1:17" ht="15" customHeight="1">
      <c r="A15" s="282" t="s">
        <v>23</v>
      </c>
      <c r="B15" s="283"/>
      <c r="C15" s="283"/>
      <c r="D15" s="283"/>
      <c r="E15" s="283"/>
      <c r="F15" s="283"/>
      <c r="G15" s="284"/>
      <c r="H15" s="282" t="s">
        <v>24</v>
      </c>
      <c r="I15" s="283"/>
      <c r="J15" s="283"/>
      <c r="K15" s="283"/>
      <c r="L15" s="283"/>
      <c r="M15" s="283"/>
      <c r="O15" s="500"/>
      <c r="P15" s="501"/>
    </row>
    <row r="16" spans="1:17" ht="25.5">
      <c r="A16" s="285" t="s">
        <v>25</v>
      </c>
      <c r="B16" s="286"/>
      <c r="C16" s="287" t="s">
        <v>26</v>
      </c>
      <c r="D16" s="31" t="s">
        <v>21</v>
      </c>
      <c r="E16" s="31" t="s">
        <v>27</v>
      </c>
      <c r="F16" s="279"/>
      <c r="G16" s="279"/>
      <c r="H16" s="288" t="s">
        <v>25</v>
      </c>
      <c r="I16" s="289"/>
      <c r="J16" s="290" t="s">
        <v>26</v>
      </c>
      <c r="K16" s="291" t="s">
        <v>22</v>
      </c>
      <c r="L16" s="280">
        <f>+K17+K22+K24+K28+K33+K43+K51+K71+K75+K82</f>
        <v>1900.13</v>
      </c>
      <c r="M16" s="279"/>
      <c r="O16" s="500"/>
      <c r="P16" s="501"/>
    </row>
    <row r="17" spans="1:15" ht="15" customHeight="1">
      <c r="A17" s="35">
        <v>1</v>
      </c>
      <c r="B17" s="33"/>
      <c r="C17" s="43"/>
      <c r="D17" s="44">
        <f>SUM(D18:D35)</f>
        <v>381.78000000000003</v>
      </c>
      <c r="E17" s="294"/>
      <c r="F17" s="30"/>
      <c r="G17" s="30"/>
      <c r="H17" s="295">
        <v>1</v>
      </c>
      <c r="I17" s="296"/>
      <c r="J17" s="318"/>
      <c r="K17" s="297">
        <f>SUM(K18:K20)</f>
        <v>25.58</v>
      </c>
      <c r="L17" s="278"/>
      <c r="M17" s="278"/>
    </row>
    <row r="18" spans="1:15" ht="15" customHeight="1">
      <c r="A18" s="343" t="s">
        <v>149</v>
      </c>
      <c r="B18" s="344" t="s">
        <v>150</v>
      </c>
      <c r="C18" s="37">
        <v>6014</v>
      </c>
      <c r="D18" s="320">
        <v>87.6</v>
      </c>
      <c r="E18" s="298">
        <v>0</v>
      </c>
      <c r="F18" s="30" t="str">
        <f>IFERROR(VLOOKUP($C18,[14]Nod!$A$3:$E$979,4,FALSE)," ")</f>
        <v>PRO230</v>
      </c>
      <c r="G18" s="30">
        <f>IFERROR(VLOOKUP($C18,[14]Nod!$A$3:$E$979,5,FALSE)," ")</f>
        <v>1</v>
      </c>
      <c r="H18" s="293" t="s">
        <v>28</v>
      </c>
      <c r="I18" s="64"/>
      <c r="J18" s="65"/>
      <c r="K18" s="65"/>
      <c r="L18" s="278"/>
      <c r="M18" s="278"/>
    </row>
    <row r="19" spans="1:15" ht="15" customHeight="1">
      <c r="A19" s="343" t="s">
        <v>151</v>
      </c>
      <c r="B19" s="344" t="s">
        <v>150</v>
      </c>
      <c r="C19" s="37">
        <v>6014</v>
      </c>
      <c r="D19" s="320">
        <v>57.4</v>
      </c>
      <c r="E19" s="298">
        <v>0</v>
      </c>
      <c r="F19" s="30" t="str">
        <f>IFERROR(VLOOKUP($C19,[14]Nod!$A$3:$E$979,4,FALSE)," ")</f>
        <v>PRO230</v>
      </c>
      <c r="G19" s="30">
        <f>IFERROR(VLOOKUP($C19,[14]Nod!$A$3:$E$979,5,FALSE)," ")</f>
        <v>1</v>
      </c>
      <c r="H19" s="66" t="s">
        <v>29</v>
      </c>
      <c r="I19" s="64"/>
      <c r="J19" s="65">
        <v>6014</v>
      </c>
      <c r="K19" s="62">
        <v>25.02</v>
      </c>
      <c r="L19" s="278" t="str">
        <f>VLOOKUP($J19,[14]Nod!$A$3:$E$978,4,FALSE)</f>
        <v>PRO230</v>
      </c>
      <c r="M19" s="278">
        <f>VLOOKUP($J19,[14]Nod!$A$3:$E$978,5,FALSE)</f>
        <v>1</v>
      </c>
    </row>
    <row r="20" spans="1:15" ht="15" customHeight="1">
      <c r="A20" s="343" t="s">
        <v>152</v>
      </c>
      <c r="B20" s="344" t="s">
        <v>150</v>
      </c>
      <c r="C20" s="37">
        <v>6014</v>
      </c>
      <c r="D20" s="320">
        <v>30</v>
      </c>
      <c r="E20" s="298">
        <v>0</v>
      </c>
      <c r="F20" s="30" t="str">
        <f>IFERROR(VLOOKUP($C20,[14]Nod!$A$3:$E$979,4,FALSE)," ")</f>
        <v>PRO230</v>
      </c>
      <c r="G20" s="30">
        <f>IFERROR(VLOOKUP($C20,[14]Nod!$A$3:$E$979,5,FALSE)," ")</f>
        <v>1</v>
      </c>
      <c r="H20" s="66" t="s">
        <v>30</v>
      </c>
      <c r="I20" s="64"/>
      <c r="J20" s="65">
        <v>6014</v>
      </c>
      <c r="K20" s="62">
        <v>0.56000000000000005</v>
      </c>
      <c r="L20" s="278" t="str">
        <f>VLOOKUP($J20,[14]Nod!$A$3:$E$978,4,FALSE)</f>
        <v>PRO230</v>
      </c>
      <c r="M20" s="278">
        <f>VLOOKUP($J20,[14]Nod!$A$3:$E$978,5,FALSE)</f>
        <v>1</v>
      </c>
      <c r="O20" s="499"/>
    </row>
    <row r="21" spans="1:15" ht="15" customHeight="1">
      <c r="A21" s="343" t="s">
        <v>153</v>
      </c>
      <c r="B21" s="344" t="s">
        <v>150</v>
      </c>
      <c r="C21" s="37">
        <v>6014</v>
      </c>
      <c r="D21" s="320">
        <v>27.9</v>
      </c>
      <c r="E21" s="298">
        <v>0</v>
      </c>
      <c r="F21" s="30" t="str">
        <f>IFERROR(VLOOKUP($C21,[14]Nod!$A$3:$E$979,4,FALSE)," ")</f>
        <v>PRO230</v>
      </c>
      <c r="G21" s="30">
        <f>IFERROR(VLOOKUP($C21,[14]Nod!$A$3:$E$979,5,FALSE)," ")</f>
        <v>1</v>
      </c>
      <c r="H21" s="299" t="s">
        <v>31</v>
      </c>
      <c r="I21" s="300"/>
      <c r="J21" s="302"/>
      <c r="K21" s="302"/>
      <c r="L21" s="278"/>
      <c r="M21" s="278"/>
      <c r="O21" s="499"/>
    </row>
    <row r="22" spans="1:15" ht="15" customHeight="1">
      <c r="A22" s="343" t="s">
        <v>154</v>
      </c>
      <c r="B22" s="344" t="s">
        <v>150</v>
      </c>
      <c r="C22" s="37">
        <v>6014</v>
      </c>
      <c r="D22" s="320">
        <v>10</v>
      </c>
      <c r="E22" s="298">
        <v>0</v>
      </c>
      <c r="F22" s="30" t="str">
        <f>IFERROR(VLOOKUP($C22,[14]Nod!$A$3:$E$979,4,FALSE)," ")</f>
        <v>PRO230</v>
      </c>
      <c r="G22" s="30">
        <f>IFERROR(VLOOKUP($C22,[14]Nod!$A$3:$E$979,5,FALSE)," ")</f>
        <v>1</v>
      </c>
      <c r="H22" s="303">
        <v>2</v>
      </c>
      <c r="I22" s="296"/>
      <c r="J22" s="318"/>
      <c r="K22" s="297">
        <v>0</v>
      </c>
      <c r="L22" s="278"/>
      <c r="M22" s="278"/>
    </row>
    <row r="23" spans="1:15" ht="15" customHeight="1">
      <c r="A23" s="343" t="s">
        <v>155</v>
      </c>
      <c r="B23" s="344" t="s">
        <v>156</v>
      </c>
      <c r="C23" s="37">
        <v>6014</v>
      </c>
      <c r="D23" s="320">
        <v>10</v>
      </c>
      <c r="E23" s="298">
        <v>0</v>
      </c>
      <c r="F23" s="30" t="str">
        <f>IFERROR(VLOOKUP($C23,[14]Nod!$A$3:$E$979,4,FALSE)," ")</f>
        <v>PRO230</v>
      </c>
      <c r="G23" s="30">
        <f>IFERROR(VLOOKUP($C23,[14]Nod!$A$3:$E$979,5,FALSE)," ")</f>
        <v>1</v>
      </c>
      <c r="H23" s="299" t="s">
        <v>31</v>
      </c>
      <c r="I23" s="300"/>
      <c r="J23" s="302"/>
      <c r="K23" s="302"/>
      <c r="L23" s="278"/>
      <c r="M23" s="278"/>
    </row>
    <row r="24" spans="1:15" ht="15" customHeight="1">
      <c r="A24" s="343" t="s">
        <v>157</v>
      </c>
      <c r="B24" s="344" t="s">
        <v>156</v>
      </c>
      <c r="C24" s="37">
        <v>6014</v>
      </c>
      <c r="D24" s="320">
        <v>5.5</v>
      </c>
      <c r="E24" s="298">
        <v>0</v>
      </c>
      <c r="F24" s="30" t="str">
        <f>IFERROR(VLOOKUP($C24,[14]Nod!$A$3:$E$979,4,FALSE)," ")</f>
        <v>PRO230</v>
      </c>
      <c r="G24" s="30">
        <f>IFERROR(VLOOKUP($C24,[14]Nod!$A$3:$E$979,5,FALSE)," ")</f>
        <v>1</v>
      </c>
      <c r="H24" s="295">
        <v>3</v>
      </c>
      <c r="I24" s="296"/>
      <c r="J24" s="318"/>
      <c r="K24" s="297">
        <f>SUM(K25:K27)</f>
        <v>0.09</v>
      </c>
      <c r="L24" s="278"/>
      <c r="M24" s="278"/>
    </row>
    <row r="25" spans="1:15" ht="15" customHeight="1">
      <c r="A25" s="343" t="s">
        <v>158</v>
      </c>
      <c r="B25" s="344" t="s">
        <v>156</v>
      </c>
      <c r="C25" s="37">
        <v>6014</v>
      </c>
      <c r="D25" s="331">
        <v>25</v>
      </c>
      <c r="E25" s="298">
        <v>0</v>
      </c>
      <c r="F25" s="30" t="str">
        <f>IFERROR(VLOOKUP($C25,[14]Nod!$A$3:$E$979,4,FALSE)," ")</f>
        <v>PRO230</v>
      </c>
      <c r="G25" s="30">
        <f>IFERROR(VLOOKUP($C25,[14]Nod!$A$3:$E$979,5,FALSE)," ")</f>
        <v>1</v>
      </c>
      <c r="H25" s="293" t="s">
        <v>28</v>
      </c>
      <c r="I25" s="64"/>
      <c r="J25" s="65"/>
      <c r="K25" s="65"/>
      <c r="L25" s="278"/>
      <c r="M25" s="278"/>
    </row>
    <row r="26" spans="1:15" ht="15" customHeight="1">
      <c r="A26" s="343" t="s">
        <v>159</v>
      </c>
      <c r="B26" s="344" t="s">
        <v>156</v>
      </c>
      <c r="C26" s="37">
        <v>6014</v>
      </c>
      <c r="D26" s="331">
        <v>25.9</v>
      </c>
      <c r="E26" s="298">
        <v>0</v>
      </c>
      <c r="F26" s="30" t="str">
        <f>IFERROR(VLOOKUP($C26,[14]Nod!$A$3:$E$979,4,FALSE)," ")</f>
        <v>PRO230</v>
      </c>
      <c r="G26" s="30">
        <f>IFERROR(VLOOKUP($C26,[14]Nod!$A$3:$E$979,5,FALSE)," ")</f>
        <v>1</v>
      </c>
      <c r="H26" s="66" t="s">
        <v>32</v>
      </c>
      <c r="I26" s="64"/>
      <c r="J26" s="65">
        <v>6087</v>
      </c>
      <c r="K26" s="62">
        <v>0.09</v>
      </c>
      <c r="L26" s="278" t="str">
        <f>VLOOKUP($J26,[14]Nod!$A$3:$E$978,4,FALSE)</f>
        <v>CAL115</v>
      </c>
      <c r="M26" s="278">
        <f>VLOOKUP($J26,[14]Nod!$A$3:$E$978,5,FALSE)</f>
        <v>3</v>
      </c>
    </row>
    <row r="27" spans="1:15" ht="15" customHeight="1">
      <c r="A27" s="343" t="s">
        <v>160</v>
      </c>
      <c r="B27" s="344" t="s">
        <v>156</v>
      </c>
      <c r="C27" s="37">
        <v>6014</v>
      </c>
      <c r="D27" s="331">
        <v>10</v>
      </c>
      <c r="E27" s="298">
        <v>0</v>
      </c>
      <c r="F27" s="30" t="str">
        <f>IFERROR(VLOOKUP($C27,[14]Nod!$A$3:$E$979,4,FALSE)," ")</f>
        <v>PRO230</v>
      </c>
      <c r="G27" s="30">
        <f>IFERROR(VLOOKUP($C27,[14]Nod!$A$3:$E$979,5,FALSE)," ")</f>
        <v>1</v>
      </c>
      <c r="H27" s="299" t="s">
        <v>31</v>
      </c>
      <c r="I27" s="300"/>
      <c r="J27" s="302"/>
      <c r="K27" s="302"/>
      <c r="L27" s="278"/>
      <c r="M27" s="278"/>
    </row>
    <row r="28" spans="1:15" ht="15" customHeight="1">
      <c r="A28" s="343" t="s">
        <v>161</v>
      </c>
      <c r="B28" s="344" t="s">
        <v>156</v>
      </c>
      <c r="C28" s="37">
        <v>6014</v>
      </c>
      <c r="D28" s="331">
        <v>10</v>
      </c>
      <c r="E28" s="298">
        <v>0</v>
      </c>
      <c r="F28" s="30" t="str">
        <f>IFERROR(VLOOKUP($C28,[14]Nod!$A$3:$E$979,4,FALSE)," ")</f>
        <v>PRO230</v>
      </c>
      <c r="G28" s="30">
        <f>IFERROR(VLOOKUP($C28,[14]Nod!$A$3:$E$979,5,FALSE)," ")</f>
        <v>1</v>
      </c>
      <c r="H28" s="295">
        <v>4</v>
      </c>
      <c r="I28" s="296"/>
      <c r="J28" s="318"/>
      <c r="K28" s="297">
        <f>SUM(K29:K32)</f>
        <v>139.01</v>
      </c>
      <c r="L28" s="278"/>
      <c r="M28" s="278"/>
    </row>
    <row r="29" spans="1:15" ht="15" customHeight="1">
      <c r="A29" s="343" t="s">
        <v>162</v>
      </c>
      <c r="B29" s="344" t="s">
        <v>156</v>
      </c>
      <c r="C29" s="37">
        <v>6014</v>
      </c>
      <c r="D29" s="331">
        <v>10</v>
      </c>
      <c r="E29" s="298">
        <v>0</v>
      </c>
      <c r="F29" s="30" t="str">
        <f>IFERROR(VLOOKUP($C29,[14]Nod!$A$3:$E$979,4,FALSE)," ")</f>
        <v>PRO230</v>
      </c>
      <c r="G29" s="30">
        <f>IFERROR(VLOOKUP($C29,[14]Nod!$A$3:$E$979,5,FALSE)," ")</f>
        <v>1</v>
      </c>
      <c r="H29" s="293" t="s">
        <v>28</v>
      </c>
      <c r="I29" s="64"/>
      <c r="J29" s="65"/>
      <c r="K29" s="65"/>
      <c r="L29" s="278"/>
      <c r="M29" s="278"/>
    </row>
    <row r="30" spans="1:15" ht="15" customHeight="1">
      <c r="A30" s="343" t="s">
        <v>163</v>
      </c>
      <c r="B30" s="344" t="s">
        <v>156</v>
      </c>
      <c r="C30" s="37">
        <v>6014</v>
      </c>
      <c r="D30" s="331">
        <v>10</v>
      </c>
      <c r="E30" s="298">
        <v>0</v>
      </c>
      <c r="F30" s="30" t="str">
        <f>IFERROR(VLOOKUP($C30,[14]Nod!$A$3:$E$979,4,FALSE)," ")</f>
        <v>PRO230</v>
      </c>
      <c r="G30" s="30">
        <f>IFERROR(VLOOKUP($C30,[14]Nod!$A$3:$E$979,5,FALSE)," ")</f>
        <v>1</v>
      </c>
      <c r="H30" s="54" t="s">
        <v>33</v>
      </c>
      <c r="I30" s="64"/>
      <c r="J30" s="65">
        <v>6013</v>
      </c>
      <c r="K30" s="62">
        <v>0</v>
      </c>
      <c r="L30" s="278" t="str">
        <f>VLOOKUP($J30,[14]Nod!$A$3:$E$978,4,FALSE)</f>
        <v>MDN34</v>
      </c>
      <c r="M30" s="278">
        <f>VLOOKUP($J30,[14]Nod!$A$3:$E$978,5,FALSE)</f>
        <v>4</v>
      </c>
    </row>
    <row r="31" spans="1:15" ht="15" customHeight="1">
      <c r="A31" s="343" t="s">
        <v>164</v>
      </c>
      <c r="B31" s="344" t="s">
        <v>156</v>
      </c>
      <c r="C31" s="37">
        <v>6014</v>
      </c>
      <c r="D31" s="331">
        <v>10</v>
      </c>
      <c r="E31" s="298">
        <v>0</v>
      </c>
      <c r="F31" s="30" t="str">
        <f>IFERROR(VLOOKUP($C31,[14]Nod!$A$3:$E$979,4,FALSE)," ")</f>
        <v>PRO230</v>
      </c>
      <c r="G31" s="30">
        <f>IFERROR(VLOOKUP($C31,[14]Nod!$A$3:$E$979,5,FALSE)," ")</f>
        <v>1</v>
      </c>
      <c r="H31" s="54" t="s">
        <v>34</v>
      </c>
      <c r="I31" s="64"/>
      <c r="J31" s="65">
        <v>6013</v>
      </c>
      <c r="K31" s="322">
        <v>139.01</v>
      </c>
      <c r="L31" s="278" t="str">
        <f>VLOOKUP($J31,[14]Nod!$A$3:$E$978,4,FALSE)</f>
        <v>MDN34</v>
      </c>
      <c r="M31" s="278">
        <f>VLOOKUP($J31,[14]Nod!$A$3:$E$978,5,FALSE)</f>
        <v>4</v>
      </c>
    </row>
    <row r="32" spans="1:15" ht="15" customHeight="1">
      <c r="A32" s="343" t="s">
        <v>165</v>
      </c>
      <c r="B32" s="344" t="s">
        <v>156</v>
      </c>
      <c r="C32" s="37">
        <v>6014</v>
      </c>
      <c r="D32" s="320">
        <v>19.88</v>
      </c>
      <c r="E32" s="298">
        <v>0</v>
      </c>
      <c r="F32" s="30" t="str">
        <f>IFERROR(VLOOKUP($C32,[14]Nod!$A$3:$E$979,4,FALSE)," ")</f>
        <v>PRO230</v>
      </c>
      <c r="G32" s="30">
        <f>IFERROR(VLOOKUP($C32,[14]Nod!$A$3:$E$979,5,FALSE)," ")</f>
        <v>1</v>
      </c>
      <c r="H32" s="299" t="s">
        <v>31</v>
      </c>
      <c r="I32" s="300"/>
      <c r="J32" s="302"/>
      <c r="K32" s="304"/>
      <c r="L32" s="278"/>
      <c r="M32" s="278"/>
    </row>
    <row r="33" spans="1:14" ht="15" customHeight="1">
      <c r="A33" s="343" t="s">
        <v>166</v>
      </c>
      <c r="B33" s="344" t="s">
        <v>156</v>
      </c>
      <c r="C33" s="37">
        <v>6014</v>
      </c>
      <c r="D33" s="331">
        <v>17.600000000000001</v>
      </c>
      <c r="E33" s="298">
        <v>0</v>
      </c>
      <c r="F33" s="30" t="str">
        <f>IFERROR(VLOOKUP($C33,[14]Nod!$A$3:$E$979,4,FALSE)," ")</f>
        <v>PRO230</v>
      </c>
      <c r="G33" s="30">
        <f>IFERROR(VLOOKUP($C33,[14]Nod!$A$3:$E$979,5,FALSE)," ")</f>
        <v>1</v>
      </c>
      <c r="H33" s="305">
        <v>5</v>
      </c>
      <c r="I33" s="306"/>
      <c r="J33" s="317"/>
      <c r="K33" s="307">
        <f>SUM(K34:K42)</f>
        <v>224.36</v>
      </c>
      <c r="L33" s="278"/>
      <c r="M33" s="278"/>
    </row>
    <row r="34" spans="1:14" ht="15" customHeight="1">
      <c r="A34" s="348" t="s">
        <v>321</v>
      </c>
      <c r="B34" s="344" t="s">
        <v>156</v>
      </c>
      <c r="C34" s="37">
        <v>6014</v>
      </c>
      <c r="D34" s="331">
        <v>10</v>
      </c>
      <c r="E34" s="298">
        <v>0</v>
      </c>
      <c r="F34" s="30" t="str">
        <f>IFERROR(VLOOKUP($C34,[14]Nod!$A$3:$E$979,4,FALSE)," ")</f>
        <v>PRO230</v>
      </c>
      <c r="G34" s="30">
        <f>IFERROR(VLOOKUP($C34,[14]Nod!$A$3:$E$979,5,FALSE)," ")</f>
        <v>1</v>
      </c>
      <c r="H34" s="293" t="s">
        <v>35</v>
      </c>
      <c r="I34" s="64"/>
      <c r="J34" s="65"/>
      <c r="K34" s="308"/>
      <c r="L34" s="278"/>
      <c r="M34" s="278"/>
    </row>
    <row r="35" spans="1:14" ht="15" customHeight="1">
      <c r="A35" s="348" t="s">
        <v>322</v>
      </c>
      <c r="B35" s="344" t="s">
        <v>156</v>
      </c>
      <c r="C35" s="37">
        <v>6014</v>
      </c>
      <c r="D35" s="502">
        <v>5</v>
      </c>
      <c r="E35" s="298">
        <v>0</v>
      </c>
      <c r="F35" s="30" t="str">
        <f>IFERROR(VLOOKUP($C35,[14]Nod!$A$3:$E$979,4,FALSE)," ")</f>
        <v>PRO230</v>
      </c>
      <c r="G35" s="30">
        <f>IFERROR(VLOOKUP($C35,[14]Nod!$A$3:$E$979,5,FALSE)," ")</f>
        <v>1</v>
      </c>
      <c r="H35" s="309" t="s">
        <v>167</v>
      </c>
      <c r="I35" s="64"/>
      <c r="J35" s="65">
        <v>6460</v>
      </c>
      <c r="K35" s="62">
        <v>200.59</v>
      </c>
      <c r="L35" s="278" t="str">
        <f>VLOOKUP($J35,[14]Nod!$A$3:$E$978,4,FALSE)</f>
        <v>ECO230</v>
      </c>
      <c r="M35" s="278">
        <f>VLOOKUP($J35,[14]Nod!$A$3:$E$978,5,FALSE)</f>
        <v>5</v>
      </c>
    </row>
    <row r="36" spans="1:14" ht="15" customHeight="1">
      <c r="A36" s="345" t="s">
        <v>31</v>
      </c>
      <c r="B36" s="3"/>
      <c r="C36" s="38"/>
      <c r="D36" s="41"/>
      <c r="E36" s="298"/>
      <c r="F36" s="30" t="str">
        <f>IFERROR(VLOOKUP($C36,[14]Nod!$A$3:$E$979,4,FALSE)," ")</f>
        <v xml:space="preserve"> </v>
      </c>
      <c r="G36" s="30" t="str">
        <f>IFERROR(VLOOKUP($C36,[14]Nod!$A$3:$E$979,5,FALSE)," ")</f>
        <v xml:space="preserve"> </v>
      </c>
      <c r="H36" s="293" t="s">
        <v>36</v>
      </c>
      <c r="I36" s="64"/>
      <c r="J36" s="65"/>
      <c r="K36" s="65"/>
      <c r="L36" s="278"/>
      <c r="M36" s="278"/>
    </row>
    <row r="37" spans="1:14" ht="15" customHeight="1">
      <c r="A37" s="45">
        <v>2</v>
      </c>
      <c r="B37" s="42"/>
      <c r="C37" s="43"/>
      <c r="D37" s="44">
        <f>SUM(D38:D43)</f>
        <v>548.68000000000006</v>
      </c>
      <c r="E37" s="294"/>
      <c r="F37" s="30" t="str">
        <f>IFERROR(VLOOKUP($C37,[14]Nod!$A$3:$E$979,4,FALSE)," ")</f>
        <v xml:space="preserve"> </v>
      </c>
      <c r="G37" s="30" t="str">
        <f>IFERROR(VLOOKUP($C37,[14]Nod!$A$3:$E$979,5,FALSE)," ")</f>
        <v xml:space="preserve"> </v>
      </c>
      <c r="H37" s="66" t="s">
        <v>37</v>
      </c>
      <c r="I37" s="64"/>
      <c r="J37" s="65">
        <v>6460</v>
      </c>
      <c r="K37" s="62">
        <v>0.94</v>
      </c>
      <c r="L37" s="278" t="str">
        <f>VLOOKUP($J37,[14]Nod!$A$3:$E$978,4,FALSE)</f>
        <v>ECO230</v>
      </c>
      <c r="M37" s="278">
        <f>VLOOKUP($J37,[14]Nod!$A$3:$E$978,5,FALSE)</f>
        <v>5</v>
      </c>
    </row>
    <row r="38" spans="1:14" ht="15" customHeight="1">
      <c r="A38" s="343" t="s">
        <v>168</v>
      </c>
      <c r="B38" s="344" t="s">
        <v>150</v>
      </c>
      <c r="C38" s="38">
        <v>6096</v>
      </c>
      <c r="D38" s="331">
        <v>300</v>
      </c>
      <c r="E38" s="298">
        <v>0</v>
      </c>
      <c r="F38" s="30" t="str">
        <f>IFERROR(VLOOKUP($C38,[14]Nod!$A$3:$E$979,4,FALSE)," ")</f>
        <v>FOR230</v>
      </c>
      <c r="G38" s="30">
        <f>IFERROR(VLOOKUP($C38,[14]Nod!$A$3:$E$979,5,FALSE)," ")</f>
        <v>2</v>
      </c>
      <c r="H38" s="66" t="s">
        <v>38</v>
      </c>
      <c r="I38" s="64"/>
      <c r="J38" s="65"/>
      <c r="K38" s="62"/>
      <c r="L38" s="278"/>
      <c r="M38" s="278"/>
    </row>
    <row r="39" spans="1:14" ht="15" customHeight="1">
      <c r="A39" s="343" t="s">
        <v>169</v>
      </c>
      <c r="B39" s="344" t="s">
        <v>150</v>
      </c>
      <c r="C39" s="38">
        <v>6179</v>
      </c>
      <c r="D39" s="331">
        <v>120</v>
      </c>
      <c r="E39" s="298">
        <v>0</v>
      </c>
      <c r="F39" s="30" t="str">
        <f>IFERROR(VLOOKUP($C39,[14]Nod!$A$3:$E$979,4,FALSE)," ")</f>
        <v>GUA230</v>
      </c>
      <c r="G39" s="30">
        <f>IFERROR(VLOOKUP($C39,[14]Nod!$A$3:$E$979,5,FALSE)," ")</f>
        <v>2</v>
      </c>
      <c r="H39" s="66" t="s">
        <v>39</v>
      </c>
      <c r="I39" s="64"/>
      <c r="J39" s="65">
        <v>6460</v>
      </c>
      <c r="K39" s="62">
        <v>0.83</v>
      </c>
      <c r="L39" s="278" t="str">
        <f>VLOOKUP($J39,[14]Nod!$A$3:$E$978,4,FALSE)</f>
        <v>ECO230</v>
      </c>
      <c r="M39" s="278">
        <f>VLOOKUP($J39,[14]Nod!$A$3:$E$978,5,FALSE)</f>
        <v>5</v>
      </c>
    </row>
    <row r="40" spans="1:14" ht="15" customHeight="1">
      <c r="A40" s="343" t="s">
        <v>170</v>
      </c>
      <c r="B40" s="344" t="s">
        <v>150</v>
      </c>
      <c r="C40" s="38">
        <v>6179</v>
      </c>
      <c r="D40" s="331">
        <v>35</v>
      </c>
      <c r="E40" s="298">
        <v>0</v>
      </c>
      <c r="F40" s="30" t="str">
        <f>IFERROR(VLOOKUP($C40,[14]Nod!$A$3:$E$979,4,FALSE)," ")</f>
        <v>GUA230</v>
      </c>
      <c r="G40" s="30">
        <f>IFERROR(VLOOKUP($C40,[14]Nod!$A$3:$E$979,5,FALSE)," ")</f>
        <v>2</v>
      </c>
      <c r="H40" s="329" t="s">
        <v>40</v>
      </c>
      <c r="I40" s="64"/>
      <c r="J40" s="65"/>
      <c r="K40" s="65"/>
      <c r="L40" s="278"/>
      <c r="M40" s="278"/>
    </row>
    <row r="41" spans="1:14" ht="15" customHeight="1">
      <c r="A41" s="343" t="s">
        <v>171</v>
      </c>
      <c r="B41" s="344" t="s">
        <v>150</v>
      </c>
      <c r="C41" s="38">
        <v>6179</v>
      </c>
      <c r="D41" s="331">
        <v>58.69</v>
      </c>
      <c r="E41" s="298">
        <v>0</v>
      </c>
      <c r="F41" s="30" t="str">
        <f>IFERROR(VLOOKUP($C41,[14]Nod!$A$3:$E$979,4,FALSE)," ")</f>
        <v>GUA230</v>
      </c>
      <c r="G41" s="30">
        <f>IFERROR(VLOOKUP($C41,[14]Nod!$A$3:$E$979,5,FALSE)," ")</f>
        <v>2</v>
      </c>
      <c r="H41" s="66" t="s">
        <v>41</v>
      </c>
      <c r="I41" s="64"/>
      <c r="J41" s="65">
        <v>6460</v>
      </c>
      <c r="K41" s="62">
        <v>22</v>
      </c>
      <c r="L41" s="278" t="str">
        <f>VLOOKUP($J41,[14]Nod!$A$3:$E$978,4,FALSE)</f>
        <v>ECO230</v>
      </c>
      <c r="M41" s="278">
        <f>VLOOKUP($J41,[14]Nod!$A$3:$E$978,5,FALSE)</f>
        <v>5</v>
      </c>
      <c r="N41" s="292"/>
    </row>
    <row r="42" spans="1:14" ht="15" customHeight="1">
      <c r="A42" s="343" t="s">
        <v>172</v>
      </c>
      <c r="B42" s="344" t="s">
        <v>156</v>
      </c>
      <c r="C42" s="38">
        <v>6179</v>
      </c>
      <c r="D42" s="331">
        <v>9.69</v>
      </c>
      <c r="E42" s="298">
        <v>0</v>
      </c>
      <c r="F42" s="30" t="str">
        <f>IFERROR(VLOOKUP($C42,[14]Nod!$A$3:$E$979,4,FALSE)," ")</f>
        <v>GUA230</v>
      </c>
      <c r="G42" s="30">
        <f>IFERROR(VLOOKUP($C42,[14]Nod!$A$3:$E$979,5,FALSE)," ")</f>
        <v>2</v>
      </c>
      <c r="H42" s="311" t="s">
        <v>31</v>
      </c>
      <c r="I42" s="64"/>
      <c r="J42" s="65"/>
      <c r="K42" s="65"/>
      <c r="L42" s="278"/>
      <c r="M42" s="278"/>
    </row>
    <row r="43" spans="1:14" ht="15" customHeight="1">
      <c r="A43" s="343" t="s">
        <v>323</v>
      </c>
      <c r="B43" s="344" t="s">
        <v>156</v>
      </c>
      <c r="C43" s="38">
        <v>6179</v>
      </c>
      <c r="D43" s="331">
        <v>25.3</v>
      </c>
      <c r="E43" s="298">
        <v>0</v>
      </c>
      <c r="F43" s="30" t="str">
        <f>IFERROR(VLOOKUP($C43,[14]Nod!$A$3:$E$979,4,FALSE)," ")</f>
        <v>GUA230</v>
      </c>
      <c r="G43" s="30">
        <f>IFERROR(VLOOKUP($C43,[14]Nod!$A$3:$E$979,5,FALSE)," ")</f>
        <v>2</v>
      </c>
      <c r="H43" s="303">
        <v>6</v>
      </c>
      <c r="I43" s="296"/>
      <c r="J43" s="318"/>
      <c r="K43" s="297">
        <f>SUM(K44:K50)</f>
        <v>269.92999999999995</v>
      </c>
      <c r="L43" s="278"/>
      <c r="M43" s="278"/>
    </row>
    <row r="44" spans="1:14" ht="15" customHeight="1">
      <c r="A44" s="50" t="s">
        <v>31</v>
      </c>
      <c r="B44" s="40"/>
      <c r="C44" s="41"/>
      <c r="D44" s="41"/>
      <c r="E44" s="310"/>
      <c r="F44" s="30" t="str">
        <f>IFERROR(VLOOKUP($C44,[14]Nod!$A$3:$E$979,4,FALSE)," ")</f>
        <v xml:space="preserve"> </v>
      </c>
      <c r="G44" s="30" t="str">
        <f>IFERROR(VLOOKUP($C44,[14]Nod!$A$3:$E$979,5,FALSE)," ")</f>
        <v xml:space="preserve"> </v>
      </c>
      <c r="H44" s="293" t="s">
        <v>35</v>
      </c>
      <c r="I44" s="64"/>
      <c r="J44" s="65"/>
      <c r="K44" s="65"/>
      <c r="L44" s="278"/>
      <c r="M44" s="278"/>
    </row>
    <row r="45" spans="1:14" ht="15" customHeight="1">
      <c r="A45" s="35">
        <v>3</v>
      </c>
      <c r="B45" s="33"/>
      <c r="C45" s="34"/>
      <c r="D45" s="63">
        <f>SUM(D46:D57)</f>
        <v>194.10000000000005</v>
      </c>
      <c r="E45" s="312"/>
      <c r="F45" s="30" t="str">
        <f>IFERROR(VLOOKUP($C45,[14]Nod!$A$3:$E$979,4,FALSE)," ")</f>
        <v xml:space="preserve"> </v>
      </c>
      <c r="G45" s="30" t="str">
        <f>IFERROR(VLOOKUP($C45,[14]Nod!$A$3:$E$979,5,FALSE)," ")</f>
        <v xml:space="preserve"> </v>
      </c>
      <c r="H45" s="309" t="s">
        <v>173</v>
      </c>
      <c r="I45" s="64"/>
      <c r="J45" s="65">
        <v>6240</v>
      </c>
      <c r="K45" s="62">
        <v>60.61</v>
      </c>
      <c r="L45" s="278" t="str">
        <f>VLOOKUP($J45,[14]Nod!$A$3:$E$978,4,FALSE)</f>
        <v>EHIG230</v>
      </c>
      <c r="M45" s="278">
        <f>VLOOKUP($J45,[14]Nod!$A$3:$E$978,5,FALSE)</f>
        <v>6</v>
      </c>
    </row>
    <row r="46" spans="1:14" ht="15" customHeight="1">
      <c r="A46" s="343" t="s">
        <v>174</v>
      </c>
      <c r="B46" s="344" t="s">
        <v>150</v>
      </c>
      <c r="C46" s="38">
        <v>6087</v>
      </c>
      <c r="D46" s="320">
        <v>47.2</v>
      </c>
      <c r="E46" s="298">
        <v>0</v>
      </c>
      <c r="F46" s="30" t="str">
        <f>IFERROR(VLOOKUP($C46,[14]Nod!$A$3:$E$979,4,FALSE)," ")</f>
        <v>CAL115</v>
      </c>
      <c r="G46" s="30">
        <f>IFERROR(VLOOKUP($C46,[14]Nod!$A$3:$E$979,5,FALSE)," ")</f>
        <v>3</v>
      </c>
      <c r="H46" s="66" t="s">
        <v>42</v>
      </c>
      <c r="I46" s="64"/>
      <c r="J46" s="65">
        <v>6005</v>
      </c>
      <c r="K46" s="62">
        <v>208.67</v>
      </c>
      <c r="L46" s="278" t="str">
        <f>VLOOKUP($J46,[14]Nod!$A$3:$E$978,4,FALSE)</f>
        <v>CHO230</v>
      </c>
      <c r="M46" s="278">
        <f>VLOOKUP($J46,[14]Nod!$A$3:$E$978,5,FALSE)</f>
        <v>6</v>
      </c>
    </row>
    <row r="47" spans="1:14" ht="15" customHeight="1">
      <c r="A47" s="343" t="s">
        <v>175</v>
      </c>
      <c r="B47" s="344" t="s">
        <v>150</v>
      </c>
      <c r="C47" s="38">
        <v>6087</v>
      </c>
      <c r="D47" s="320">
        <v>54.8</v>
      </c>
      <c r="E47" s="298">
        <v>0</v>
      </c>
      <c r="F47" s="30" t="str">
        <f>IFERROR(VLOOKUP($C47,[14]Nod!$A$3:$E$979,4,FALSE)," ")</f>
        <v>CAL115</v>
      </c>
      <c r="G47" s="30">
        <f>IFERROR(VLOOKUP($C47,[14]Nod!$A$3:$E$979,5,FALSE)," ")</f>
        <v>3</v>
      </c>
      <c r="H47" s="293" t="s">
        <v>36</v>
      </c>
      <c r="I47" s="64"/>
      <c r="J47" s="65"/>
      <c r="K47" s="65"/>
      <c r="L47" s="278"/>
      <c r="M47" s="278"/>
    </row>
    <row r="48" spans="1:14" ht="15" customHeight="1">
      <c r="A48" s="343" t="s">
        <v>176</v>
      </c>
      <c r="B48" s="344" t="s">
        <v>150</v>
      </c>
      <c r="C48" s="38">
        <v>6087</v>
      </c>
      <c r="D48" s="320">
        <v>19.75</v>
      </c>
      <c r="E48" s="298">
        <v>0</v>
      </c>
      <c r="F48" s="30" t="str">
        <f>IFERROR(VLOOKUP($C48,[14]Nod!$A$3:$E$979,4,FALSE)," ")</f>
        <v>CAL115</v>
      </c>
      <c r="G48" s="30">
        <f>IFERROR(VLOOKUP($C48,[14]Nod!$A$3:$E$979,5,FALSE)," ")</f>
        <v>3</v>
      </c>
      <c r="H48" s="66" t="s">
        <v>37</v>
      </c>
      <c r="I48" s="64"/>
      <c r="J48" s="65">
        <v>6005</v>
      </c>
      <c r="K48" s="62">
        <v>0.32</v>
      </c>
      <c r="L48" s="278" t="str">
        <f>VLOOKUP($J48,[14]Nod!$A$3:$E$978,4,FALSE)</f>
        <v>CHO230</v>
      </c>
      <c r="M48" s="278">
        <f>VLOOKUP($J48,[14]Nod!$A$3:$E$978,5,FALSE)</f>
        <v>6</v>
      </c>
    </row>
    <row r="49" spans="1:13" ht="15" customHeight="1">
      <c r="A49" s="343" t="s">
        <v>177</v>
      </c>
      <c r="B49" s="344" t="s">
        <v>150</v>
      </c>
      <c r="C49" s="38">
        <v>6087</v>
      </c>
      <c r="D49" s="320">
        <v>15.5</v>
      </c>
      <c r="E49" s="298">
        <v>0</v>
      </c>
      <c r="F49" s="30" t="str">
        <f>IFERROR(VLOOKUP($C49,[14]Nod!$A$3:$E$979,4,FALSE)," ")</f>
        <v>CAL115</v>
      </c>
      <c r="G49" s="30">
        <f>IFERROR(VLOOKUP($C49,[14]Nod!$A$3:$E$979,5,FALSE)," ")</f>
        <v>3</v>
      </c>
      <c r="H49" s="66" t="s">
        <v>43</v>
      </c>
      <c r="I49" s="64"/>
      <c r="J49" s="65">
        <v>6005</v>
      </c>
      <c r="K49" s="62">
        <v>0.33</v>
      </c>
      <c r="L49" s="278" t="str">
        <f>VLOOKUP($J49,[14]Nod!$A$3:$E$978,4,FALSE)</f>
        <v>CHO230</v>
      </c>
      <c r="M49" s="278">
        <f>VLOOKUP($J49,[14]Nod!$A$3:$E$978,5,FALSE)</f>
        <v>6</v>
      </c>
    </row>
    <row r="50" spans="1:13" ht="15" customHeight="1">
      <c r="A50" s="343" t="s">
        <v>178</v>
      </c>
      <c r="B50" s="344" t="s">
        <v>150</v>
      </c>
      <c r="C50" s="38">
        <v>6087</v>
      </c>
      <c r="D50" s="320">
        <v>9.73</v>
      </c>
      <c r="E50" s="298">
        <v>0</v>
      </c>
      <c r="F50" s="30" t="str">
        <f>IFERROR(VLOOKUP($C50,[14]Nod!$A$3:$E$979,4,FALSE)," ")</f>
        <v>CAL115</v>
      </c>
      <c r="G50" s="30">
        <f>IFERROR(VLOOKUP($C50,[14]Nod!$A$3:$E$979,5,FALSE)," ")</f>
        <v>3</v>
      </c>
      <c r="H50" s="299" t="s">
        <v>31</v>
      </c>
      <c r="I50" s="300"/>
      <c r="J50" s="302"/>
      <c r="K50" s="302"/>
      <c r="L50" s="278"/>
      <c r="M50" s="278"/>
    </row>
    <row r="51" spans="1:13" ht="15" customHeight="1">
      <c r="A51" s="346" t="s">
        <v>179</v>
      </c>
      <c r="B51" s="344" t="s">
        <v>150</v>
      </c>
      <c r="C51" s="38">
        <v>6087</v>
      </c>
      <c r="D51" s="320">
        <v>7.8</v>
      </c>
      <c r="E51" s="298">
        <v>0</v>
      </c>
      <c r="F51" s="30" t="str">
        <f>IFERROR(VLOOKUP($C51,[14]Nod!$A$3:$E$979,4,FALSE)," ")</f>
        <v>CAL115</v>
      </c>
      <c r="G51" s="30">
        <f>IFERROR(VLOOKUP($C51,[14]Nod!$A$3:$E$979,5,FALSE)," ")</f>
        <v>3</v>
      </c>
      <c r="H51" s="303">
        <v>7</v>
      </c>
      <c r="I51" s="296"/>
      <c r="J51" s="318"/>
      <c r="K51" s="297">
        <f>SUM(K52:K69)</f>
        <v>1039.24</v>
      </c>
      <c r="L51" s="278"/>
      <c r="M51" s="278"/>
    </row>
    <row r="52" spans="1:13" ht="15" customHeight="1">
      <c r="A52" s="346" t="s">
        <v>324</v>
      </c>
      <c r="B52" s="344" t="s">
        <v>156</v>
      </c>
      <c r="C52" s="38">
        <v>6087</v>
      </c>
      <c r="D52" s="503">
        <v>5</v>
      </c>
      <c r="E52" s="298">
        <v>0</v>
      </c>
      <c r="F52" s="30" t="str">
        <f>IFERROR(VLOOKUP($C52,[14]Nod!$A$3:$E$979,4,FALSE)," ")</f>
        <v>CAL115</v>
      </c>
      <c r="G52" s="30">
        <f>IFERROR(VLOOKUP($C52,[14]Nod!$A$3:$E$979,5,FALSE)," ")</f>
        <v>3</v>
      </c>
      <c r="H52" s="293" t="s">
        <v>35</v>
      </c>
      <c r="I52" s="64"/>
      <c r="J52" s="65"/>
      <c r="K52" s="65"/>
      <c r="L52" s="278"/>
      <c r="M52" s="278"/>
    </row>
    <row r="53" spans="1:13" ht="15" customHeight="1">
      <c r="A53" s="346" t="s">
        <v>325</v>
      </c>
      <c r="B53" s="344" t="s">
        <v>156</v>
      </c>
      <c r="C53" s="38">
        <v>6087</v>
      </c>
      <c r="D53" s="320">
        <v>8.58</v>
      </c>
      <c r="E53" s="298">
        <v>0</v>
      </c>
      <c r="F53" s="30" t="str">
        <f>IFERROR(VLOOKUP($C53,[14]Nod!$A$3:$E$979,4,FALSE)," ")</f>
        <v>CAL115</v>
      </c>
      <c r="G53" s="30">
        <f>IFERROR(VLOOKUP($C53,[14]Nod!$A$3:$E$979,5,FALSE)," ")</f>
        <v>3</v>
      </c>
      <c r="H53" s="54" t="s">
        <v>45</v>
      </c>
      <c r="I53" s="64"/>
      <c r="J53" s="65">
        <v>6002</v>
      </c>
      <c r="K53" s="62">
        <v>492.41</v>
      </c>
      <c r="L53" s="278" t="str">
        <f>VLOOKUP($J53,[14]Nod!$A$3:$E$978,4,FALSE)</f>
        <v>PAN115</v>
      </c>
      <c r="M53" s="278">
        <f>VLOOKUP($J53,[14]Nod!$A$3:$E$978,5,FALSE)</f>
        <v>7</v>
      </c>
    </row>
    <row r="54" spans="1:13" ht="15" customHeight="1">
      <c r="A54" s="346" t="s">
        <v>180</v>
      </c>
      <c r="B54" s="344" t="s">
        <v>156</v>
      </c>
      <c r="C54" s="38">
        <v>6087</v>
      </c>
      <c r="D54" s="320">
        <v>8.58</v>
      </c>
      <c r="E54" s="298">
        <v>0</v>
      </c>
      <c r="F54" s="30" t="str">
        <f>IFERROR(VLOOKUP($C54,[14]Nod!$A$3:$E$979,4,FALSE)," ")</f>
        <v>CAL115</v>
      </c>
      <c r="G54" s="30">
        <f>IFERROR(VLOOKUP($C54,[14]Nod!$A$3:$E$979,5,FALSE)," ")</f>
        <v>3</v>
      </c>
      <c r="H54" s="327" t="s">
        <v>140</v>
      </c>
      <c r="I54" s="64"/>
      <c r="J54" s="65"/>
      <c r="K54" s="62"/>
      <c r="L54" s="278"/>
      <c r="M54" s="278"/>
    </row>
    <row r="55" spans="1:13" ht="15" customHeight="1">
      <c r="A55" s="346" t="s">
        <v>181</v>
      </c>
      <c r="B55" s="344" t="s">
        <v>156</v>
      </c>
      <c r="C55" s="38">
        <v>6087</v>
      </c>
      <c r="D55" s="320">
        <v>8.58</v>
      </c>
      <c r="E55" s="298">
        <v>0</v>
      </c>
      <c r="F55" s="30" t="str">
        <f>IFERROR(VLOOKUP($C55,[14]Nod!$A$3:$E$979,4,FALSE)," ")</f>
        <v>CAL115</v>
      </c>
      <c r="G55" s="30">
        <f>IFERROR(VLOOKUP($C55,[14]Nod!$A$3:$E$979,5,FALSE)," ")</f>
        <v>3</v>
      </c>
      <c r="H55" s="54" t="s">
        <v>49</v>
      </c>
      <c r="I55" s="64"/>
      <c r="J55" s="65">
        <v>6002</v>
      </c>
      <c r="K55" s="62">
        <v>0.37</v>
      </c>
      <c r="L55" s="278" t="str">
        <f>VLOOKUP($J55,[14]Nod!$A$3:$E$978,4,FALSE)</f>
        <v>PAN115</v>
      </c>
      <c r="M55" s="278">
        <f>VLOOKUP($J55,[14]Nod!$A$3:$E$978,5,FALSE)</f>
        <v>7</v>
      </c>
    </row>
    <row r="56" spans="1:13" ht="15" customHeight="1">
      <c r="A56" s="347" t="s">
        <v>182</v>
      </c>
      <c r="B56" s="344" t="s">
        <v>156</v>
      </c>
      <c r="C56" s="38">
        <v>6087</v>
      </c>
      <c r="D56" s="320">
        <v>8.58</v>
      </c>
      <c r="E56" s="298">
        <v>0</v>
      </c>
      <c r="F56" s="30" t="str">
        <f>IFERROR(VLOOKUP($C56,[14]Nod!$A$3:$E$979,4,FALSE)," ")</f>
        <v>CAL115</v>
      </c>
      <c r="G56" s="30">
        <f>IFERROR(VLOOKUP($C56,[14]Nod!$A$3:$E$979,5,FALSE)," ")</f>
        <v>3</v>
      </c>
      <c r="H56" s="54" t="s">
        <v>143</v>
      </c>
      <c r="I56" s="64"/>
      <c r="J56" s="65">
        <v>6002</v>
      </c>
      <c r="K56" s="62">
        <v>1.21</v>
      </c>
      <c r="L56" s="278" t="str">
        <f>VLOOKUP($J56,[14]Nod!$A$3:$E$978,4,FALSE)</f>
        <v>PAN115</v>
      </c>
      <c r="M56" s="278">
        <f>VLOOKUP($J56,[14]Nod!$A$3:$E$978,5,FALSE)</f>
        <v>7</v>
      </c>
    </row>
    <row r="57" spans="1:13" ht="15" customHeight="1">
      <c r="A57" s="47" t="s">
        <v>31</v>
      </c>
      <c r="B57" s="3"/>
      <c r="C57" s="38"/>
      <c r="D57" s="38"/>
      <c r="E57" s="298"/>
      <c r="F57" s="30" t="str">
        <f>IFERROR(VLOOKUP($C57,[14]Nod!$A$3:$E$979,4,FALSE)," ")</f>
        <v xml:space="preserve"> </v>
      </c>
      <c r="G57" s="30" t="str">
        <f>IFERROR(VLOOKUP($C57,[14]Nod!$A$3:$E$979,5,FALSE)," ")</f>
        <v xml:space="preserve"> </v>
      </c>
      <c r="H57" s="54" t="s">
        <v>51</v>
      </c>
      <c r="I57" s="64"/>
      <c r="J57" s="65">
        <v>6002</v>
      </c>
      <c r="K57" s="62">
        <v>0.32</v>
      </c>
      <c r="L57" s="278" t="str">
        <f>VLOOKUP($J57,[14]Nod!$A$3:$E$978,4,FALSE)</f>
        <v>PAN115</v>
      </c>
      <c r="M57" s="278">
        <f>VLOOKUP($J57,[14]Nod!$A$3:$E$978,5,FALSE)</f>
        <v>7</v>
      </c>
    </row>
    <row r="58" spans="1:13" ht="15" customHeight="1">
      <c r="A58" s="45">
        <v>4</v>
      </c>
      <c r="B58" s="42"/>
      <c r="C58" s="43"/>
      <c r="D58" s="44">
        <f>SUM(D59:D116)</f>
        <v>600.05477999999994</v>
      </c>
      <c r="E58" s="294"/>
      <c r="F58" s="30" t="str">
        <f>IFERROR(VLOOKUP($C58,[14]Nod!$A$3:$E$979,4,FALSE)," ")</f>
        <v xml:space="preserve"> </v>
      </c>
      <c r="G58" s="30" t="str">
        <f>IFERROR(VLOOKUP($C58,[14]Nod!$A$3:$E$979,5,FALSE)," ")</f>
        <v xml:space="preserve"> </v>
      </c>
      <c r="H58" s="54" t="s">
        <v>52</v>
      </c>
      <c r="I58" s="64"/>
      <c r="J58" s="65">
        <v>6002</v>
      </c>
      <c r="K58" s="62"/>
      <c r="L58" s="278" t="str">
        <f>VLOOKUP($J58,[14]Nod!$A$3:$E$978,4,FALSE)</f>
        <v>PAN115</v>
      </c>
      <c r="M58" s="278">
        <f>VLOOKUP($J58,[14]Nod!$A$3:$E$978,5,FALSE)</f>
        <v>7</v>
      </c>
    </row>
    <row r="59" spans="1:13" ht="15" customHeight="1">
      <c r="A59" s="343" t="s">
        <v>183</v>
      </c>
      <c r="B59" s="344" t="s">
        <v>150</v>
      </c>
      <c r="C59" s="38">
        <v>6380</v>
      </c>
      <c r="D59" s="320">
        <v>10</v>
      </c>
      <c r="E59" s="298">
        <v>0</v>
      </c>
      <c r="F59" s="30" t="str">
        <f>IFERROR(VLOOKUP($C59,[14]Nod!$A$3:$E$979,4,FALSE)," ")</f>
        <v>BOQIII230</v>
      </c>
      <c r="G59" s="30">
        <f>IFERROR(VLOOKUP($C59,[14]Nod!$A$3:$E$979,5,FALSE)," ")</f>
        <v>4</v>
      </c>
      <c r="H59" s="326" t="s">
        <v>37</v>
      </c>
      <c r="I59" s="64"/>
      <c r="J59" s="65">
        <v>6002</v>
      </c>
      <c r="K59" s="62">
        <v>1.33</v>
      </c>
      <c r="L59" s="278" t="str">
        <f>VLOOKUP($J59,[14]Nod!$A$3:$E$978,4,FALSE)</f>
        <v>PAN115</v>
      </c>
      <c r="M59" s="278">
        <f>VLOOKUP($J59,[14]Nod!$A$3:$E$978,5,FALSE)</f>
        <v>7</v>
      </c>
    </row>
    <row r="60" spans="1:13" ht="15" customHeight="1">
      <c r="A60" s="343" t="s">
        <v>326</v>
      </c>
      <c r="B60" s="344" t="s">
        <v>150</v>
      </c>
      <c r="C60" s="38">
        <v>6380</v>
      </c>
      <c r="D60" s="320">
        <v>5.8</v>
      </c>
      <c r="E60" s="298">
        <v>0</v>
      </c>
      <c r="F60" s="30" t="str">
        <f>IFERROR(VLOOKUP($C60,[14]Nod!$A$3:$E$979,4,FALSE)," ")</f>
        <v>BOQIII230</v>
      </c>
      <c r="G60" s="30">
        <f>IFERROR(VLOOKUP($C60,[14]Nod!$A$3:$E$979,5,FALSE)," ")</f>
        <v>4</v>
      </c>
      <c r="H60" s="328"/>
      <c r="I60" s="64"/>
      <c r="J60" s="65"/>
      <c r="K60" s="62"/>
      <c r="L60" s="278"/>
      <c r="M60" s="278"/>
    </row>
    <row r="61" spans="1:13" ht="15" customHeight="1">
      <c r="A61" s="343" t="s">
        <v>185</v>
      </c>
      <c r="B61" s="344" t="s">
        <v>150</v>
      </c>
      <c r="C61" s="38">
        <v>6013</v>
      </c>
      <c r="D61" s="320">
        <v>6</v>
      </c>
      <c r="E61" s="298">
        <v>0</v>
      </c>
      <c r="F61" s="30" t="str">
        <f>IFERROR(VLOOKUP($C61,[14]Nod!$A$3:$E$979,4,FALSE)," ")</f>
        <v>MDN34</v>
      </c>
      <c r="G61" s="30">
        <f>IFERROR(VLOOKUP($C61,[14]Nod!$A$3:$E$979,5,FALSE)," ")</f>
        <v>4</v>
      </c>
      <c r="H61" s="327" t="s">
        <v>44</v>
      </c>
      <c r="I61" s="64"/>
      <c r="J61" s="65"/>
      <c r="K61" s="62"/>
      <c r="L61" s="278"/>
      <c r="M61" s="278"/>
    </row>
    <row r="62" spans="1:13" ht="15" customHeight="1">
      <c r="A62" s="343" t="s">
        <v>186</v>
      </c>
      <c r="B62" s="344" t="s">
        <v>150</v>
      </c>
      <c r="C62" s="38">
        <v>6013</v>
      </c>
      <c r="D62" s="503"/>
      <c r="E62" s="298">
        <v>0</v>
      </c>
      <c r="F62" s="30" t="str">
        <f>IFERROR(VLOOKUP($C62,[14]Nod!$A$3:$E$979,4,FALSE)," ")</f>
        <v>MDN34</v>
      </c>
      <c r="G62" s="30">
        <f>IFERROR(VLOOKUP($C62,[14]Nod!$A$3:$E$979,5,FALSE)," ")</f>
        <v>4</v>
      </c>
      <c r="H62" s="54" t="s">
        <v>45</v>
      </c>
      <c r="I62" s="64"/>
      <c r="J62" s="65">
        <v>6002</v>
      </c>
      <c r="K62" s="62">
        <v>197.3</v>
      </c>
      <c r="L62" s="278" t="str">
        <f>VLOOKUP($J62,[14]Nod!$A$3:$E$978,4,FALSE)</f>
        <v>PAN115</v>
      </c>
      <c r="M62" s="278">
        <f>VLOOKUP($J62,[14]Nod!$A$3:$E$978,5,FALSE)</f>
        <v>7</v>
      </c>
    </row>
    <row r="63" spans="1:13" ht="15" customHeight="1">
      <c r="A63" s="343" t="s">
        <v>187</v>
      </c>
      <c r="B63" s="344" t="s">
        <v>150</v>
      </c>
      <c r="C63" s="38">
        <v>6380</v>
      </c>
      <c r="D63" s="320">
        <v>20.100000000000001</v>
      </c>
      <c r="E63" s="298">
        <v>0</v>
      </c>
      <c r="F63" s="30" t="str">
        <f>IFERROR(VLOOKUP($C63,[14]Nod!$A$3:$E$979,4,FALSE)," ")</f>
        <v>BOQIII230</v>
      </c>
      <c r="G63" s="30">
        <f>IFERROR(VLOOKUP($C63,[14]Nod!$A$3:$E$979,5,FALSE)," ")</f>
        <v>4</v>
      </c>
      <c r="H63" s="54" t="s">
        <v>46</v>
      </c>
      <c r="I63" s="64"/>
      <c r="J63" s="65">
        <v>6002</v>
      </c>
      <c r="K63" s="62">
        <v>262.39999999999998</v>
      </c>
      <c r="L63" s="278" t="str">
        <f>VLOOKUP($J63,[14]Nod!$A$3:$E$978,4,FALSE)</f>
        <v>PAN115</v>
      </c>
      <c r="M63" s="278">
        <f>VLOOKUP($J63,[14]Nod!$A$3:$E$978,5,FALSE)</f>
        <v>7</v>
      </c>
    </row>
    <row r="64" spans="1:13" ht="15" customHeight="1">
      <c r="A64" s="343" t="s">
        <v>188</v>
      </c>
      <c r="B64" s="344" t="s">
        <v>150</v>
      </c>
      <c r="C64" s="38">
        <v>6380</v>
      </c>
      <c r="D64" s="320">
        <v>12.52</v>
      </c>
      <c r="E64" s="298">
        <v>0</v>
      </c>
      <c r="F64" s="30" t="str">
        <f>IFERROR(VLOOKUP($C64,[14]Nod!$A$3:$E$979,4,FALSE)," ")</f>
        <v>BOQIII230</v>
      </c>
      <c r="G64" s="30">
        <f>IFERROR(VLOOKUP($C64,[14]Nod!$A$3:$E$979,5,FALSE)," ")</f>
        <v>4</v>
      </c>
      <c r="H64" s="54" t="s">
        <v>47</v>
      </c>
      <c r="I64" s="64"/>
      <c r="J64" s="65">
        <v>6470</v>
      </c>
      <c r="K64" s="62">
        <v>58.7</v>
      </c>
      <c r="L64" s="278" t="str">
        <f>VLOOKUP($J64,[14]Nod!$A$3:$E$978,4,FALSE)</f>
        <v>24DIC230</v>
      </c>
      <c r="M64" s="278">
        <f>VLOOKUP($J64,[14]Nod!$A$3:$E$978,5,FALSE)</f>
        <v>7</v>
      </c>
    </row>
    <row r="65" spans="1:13" ht="15" customHeight="1">
      <c r="A65" s="343" t="s">
        <v>189</v>
      </c>
      <c r="B65" s="344" t="s">
        <v>150</v>
      </c>
      <c r="C65" s="38">
        <v>6380</v>
      </c>
      <c r="D65" s="320">
        <v>14</v>
      </c>
      <c r="E65" s="298">
        <v>0</v>
      </c>
      <c r="F65" s="30" t="str">
        <f>IFERROR(VLOOKUP($C65,[14]Nod!$A$3:$E$979,4,FALSE)," ")</f>
        <v>BOQIII230</v>
      </c>
      <c r="G65" s="30">
        <f>IFERROR(VLOOKUP($C65,[14]Nod!$A$3:$E$979,5,FALSE)," ")</f>
        <v>4</v>
      </c>
      <c r="H65" s="327" t="s">
        <v>139</v>
      </c>
      <c r="I65" s="64"/>
      <c r="J65" s="65"/>
      <c r="K65" s="62"/>
      <c r="L65" s="278"/>
      <c r="M65" s="278"/>
    </row>
    <row r="66" spans="1:13" ht="15" customHeight="1">
      <c r="A66" s="343" t="s">
        <v>190</v>
      </c>
      <c r="B66" s="344" t="s">
        <v>150</v>
      </c>
      <c r="C66" s="51">
        <v>6013</v>
      </c>
      <c r="D66" s="504"/>
      <c r="E66" s="298">
        <v>0</v>
      </c>
      <c r="F66" s="30" t="str">
        <f>IFERROR(VLOOKUP($C66,[14]Nod!$A$3:$E$979,4,FALSE)," ")</f>
        <v>MDN34</v>
      </c>
      <c r="G66" s="30">
        <f>IFERROR(VLOOKUP($C66,[14]Nod!$A$3:$E$979,5,FALSE)," ")</f>
        <v>4</v>
      </c>
      <c r="H66" s="54" t="s">
        <v>48</v>
      </c>
      <c r="I66" s="64"/>
      <c r="J66" s="65">
        <v>6024</v>
      </c>
      <c r="K66" s="62">
        <v>22.22</v>
      </c>
      <c r="L66" s="278" t="str">
        <f>VLOOKUP($J66,[14]Nod!$A$3:$E$978,4,FALSE)</f>
        <v>CHI115</v>
      </c>
      <c r="M66" s="278">
        <f>VLOOKUP($J66,[14]Nod!$A$3:$E$978,5,FALSE)</f>
        <v>7</v>
      </c>
    </row>
    <row r="67" spans="1:13" ht="15" customHeight="1">
      <c r="A67" s="343" t="s">
        <v>191</v>
      </c>
      <c r="B67" s="344" t="s">
        <v>150</v>
      </c>
      <c r="C67" s="51">
        <v>6013</v>
      </c>
      <c r="D67" s="503"/>
      <c r="E67" s="298">
        <v>0</v>
      </c>
      <c r="F67" s="30" t="str">
        <f>IFERROR(VLOOKUP($C67,[14]Nod!$A$3:$E$979,4,FALSE)," ")</f>
        <v>MDN34</v>
      </c>
      <c r="G67" s="30">
        <f>IFERROR(VLOOKUP($C67,[14]Nod!$A$3:$E$979,5,FALSE)," ")</f>
        <v>4</v>
      </c>
      <c r="H67" s="54" t="s">
        <v>50</v>
      </c>
      <c r="I67" s="64"/>
      <c r="J67" s="65">
        <v>6002</v>
      </c>
      <c r="K67" s="62">
        <v>0.19</v>
      </c>
      <c r="L67" s="278" t="str">
        <f>VLOOKUP($J67,[14]Nod!$A$3:$E$978,4,FALSE)</f>
        <v>PAN115</v>
      </c>
      <c r="M67" s="278">
        <f>VLOOKUP($J67,[14]Nod!$A$3:$E$978,5,FALSE)</f>
        <v>7</v>
      </c>
    </row>
    <row r="68" spans="1:13" ht="15" customHeight="1">
      <c r="A68" s="343" t="s">
        <v>192</v>
      </c>
      <c r="B68" s="344" t="s">
        <v>150</v>
      </c>
      <c r="C68" s="38">
        <v>6380</v>
      </c>
      <c r="D68" s="320">
        <v>10</v>
      </c>
      <c r="E68" s="298">
        <v>0</v>
      </c>
      <c r="F68" s="30" t="str">
        <f>IFERROR(VLOOKUP($C68,[14]Nod!$A$3:$E$979,4,FALSE)," ")</f>
        <v>BOQIII230</v>
      </c>
      <c r="G68" s="30">
        <f>IFERROR(VLOOKUP($C68,[14]Nod!$A$3:$E$979,5,FALSE)," ")</f>
        <v>4</v>
      </c>
      <c r="H68" s="54" t="s">
        <v>53</v>
      </c>
      <c r="I68" s="64"/>
      <c r="J68" s="65">
        <v>6002</v>
      </c>
      <c r="K68" s="62"/>
      <c r="L68" s="278" t="str">
        <f>VLOOKUP($J68,[14]Nod!$A$3:$E$978,4,FALSE)</f>
        <v>PAN115</v>
      </c>
      <c r="M68" s="278">
        <f>VLOOKUP($J68,[14]Nod!$A$3:$E$978,5,FALSE)</f>
        <v>7</v>
      </c>
    </row>
    <row r="69" spans="1:13" ht="15" customHeight="1">
      <c r="A69" s="343" t="s">
        <v>193</v>
      </c>
      <c r="B69" s="344" t="s">
        <v>150</v>
      </c>
      <c r="C69" s="38">
        <v>6380</v>
      </c>
      <c r="D69" s="320">
        <v>10</v>
      </c>
      <c r="E69" s="298">
        <v>0</v>
      </c>
      <c r="F69" s="30" t="str">
        <f>IFERROR(VLOOKUP($C69,[14]Nod!$A$3:$E$979,4,FALSE)," ")</f>
        <v>BOQIII230</v>
      </c>
      <c r="G69" s="30">
        <f>IFERROR(VLOOKUP($C69,[14]Nod!$A$3:$E$979,5,FALSE)," ")</f>
        <v>4</v>
      </c>
      <c r="H69" s="326" t="s">
        <v>37</v>
      </c>
      <c r="I69" s="64"/>
      <c r="J69" s="65">
        <v>6002</v>
      </c>
      <c r="K69" s="62">
        <v>2.7900000000000005</v>
      </c>
      <c r="L69" s="278" t="str">
        <f>VLOOKUP($J69,[14]Nod!$A$3:$E$978,4,FALSE)</f>
        <v>PAN115</v>
      </c>
      <c r="M69" s="278">
        <f>VLOOKUP($J69,[14]Nod!$A$3:$E$978,5,FALSE)</f>
        <v>7</v>
      </c>
    </row>
    <row r="70" spans="1:13" ht="15" customHeight="1">
      <c r="A70" s="343" t="s">
        <v>194</v>
      </c>
      <c r="B70" s="344" t="s">
        <v>150</v>
      </c>
      <c r="C70" s="38">
        <v>6013</v>
      </c>
      <c r="D70" s="320">
        <v>51.65</v>
      </c>
      <c r="E70" s="298">
        <v>0</v>
      </c>
      <c r="F70" s="30" t="str">
        <f>IFERROR(VLOOKUP($C70,[14]Nod!$A$3:$E$979,4,FALSE)," ")</f>
        <v>MDN34</v>
      </c>
      <c r="G70" s="30">
        <f>IFERROR(VLOOKUP($C70,[14]Nod!$A$3:$E$979,5,FALSE)," ")</f>
        <v>4</v>
      </c>
      <c r="H70" s="299" t="s">
        <v>31</v>
      </c>
      <c r="I70" s="300"/>
      <c r="J70" s="302"/>
      <c r="K70" s="302"/>
      <c r="L70" s="278"/>
      <c r="M70" s="278"/>
    </row>
    <row r="71" spans="1:13" ht="15" customHeight="1">
      <c r="A71" s="343" t="s">
        <v>195</v>
      </c>
      <c r="B71" s="344" t="s">
        <v>150</v>
      </c>
      <c r="C71" s="38">
        <v>6182</v>
      </c>
      <c r="D71" s="320">
        <v>32.6</v>
      </c>
      <c r="E71" s="298">
        <v>0</v>
      </c>
      <c r="F71" s="30" t="str">
        <f>IFERROR(VLOOKUP($C71,[14]Nod!$A$3:$E$979,4,FALSE)," ")</f>
        <v>VEL230</v>
      </c>
      <c r="G71" s="30">
        <f>IFERROR(VLOOKUP($C71,[14]Nod!$A$3:$E$979,5,FALSE)," ")</f>
        <v>4</v>
      </c>
      <c r="H71" s="303">
        <v>8</v>
      </c>
      <c r="I71" s="296"/>
      <c r="J71" s="319"/>
      <c r="K71" s="297">
        <f>SUM(K72:K74)</f>
        <v>1.5</v>
      </c>
      <c r="L71" s="278"/>
      <c r="M71" s="278"/>
    </row>
    <row r="72" spans="1:13" ht="15" customHeight="1">
      <c r="A72" s="343" t="s">
        <v>196</v>
      </c>
      <c r="B72" s="344" t="s">
        <v>150</v>
      </c>
      <c r="C72" s="38">
        <v>6182</v>
      </c>
      <c r="D72" s="320">
        <v>5.12</v>
      </c>
      <c r="E72" s="298">
        <v>0</v>
      </c>
      <c r="F72" s="30" t="str">
        <f>IFERROR(VLOOKUP($C72,[14]Nod!$A$3:$E$979,4,FALSE)," ")</f>
        <v>VEL230</v>
      </c>
      <c r="G72" s="30">
        <f>IFERROR(VLOOKUP($C72,[14]Nod!$A$3:$E$979,5,FALSE)," ")</f>
        <v>4</v>
      </c>
      <c r="H72" s="293" t="s">
        <v>44</v>
      </c>
      <c r="I72" s="64"/>
      <c r="J72" s="65"/>
      <c r="K72" s="65"/>
      <c r="L72" s="278"/>
      <c r="M72" s="278"/>
    </row>
    <row r="73" spans="1:13" ht="15" customHeight="1">
      <c r="A73" s="343" t="s">
        <v>197</v>
      </c>
      <c r="B73" s="344" t="s">
        <v>150</v>
      </c>
      <c r="C73" s="38">
        <v>6380</v>
      </c>
      <c r="D73" s="320">
        <v>5.86</v>
      </c>
      <c r="E73" s="298">
        <v>0</v>
      </c>
      <c r="F73" s="30" t="str">
        <f>IFERROR(VLOOKUP($C73,[14]Nod!$A$3:$E$979,4,FALSE)," ")</f>
        <v>BOQIII230</v>
      </c>
      <c r="G73" s="30">
        <f>IFERROR(VLOOKUP($C73,[14]Nod!$A$3:$E$979,5,FALSE)," ")</f>
        <v>4</v>
      </c>
      <c r="H73" s="325" t="s">
        <v>54</v>
      </c>
      <c r="I73" s="64"/>
      <c r="J73" s="65">
        <v>6100</v>
      </c>
      <c r="K73" s="62">
        <v>1.5</v>
      </c>
      <c r="L73" s="278" t="str">
        <f>VLOOKUP($J73,[14]Nod!$A$3:$E$978,4,FALSE)</f>
        <v>BAY230</v>
      </c>
      <c r="M73" s="278">
        <f>VLOOKUP($J73,[14]Nod!$A$3:$E$978,5,FALSE)</f>
        <v>8</v>
      </c>
    </row>
    <row r="74" spans="1:13" ht="15" customHeight="1">
      <c r="A74" s="343" t="s">
        <v>198</v>
      </c>
      <c r="B74" s="344" t="s">
        <v>150</v>
      </c>
      <c r="C74" s="38">
        <v>6380</v>
      </c>
      <c r="D74" s="320">
        <v>73.180000000000007</v>
      </c>
      <c r="E74" s="298">
        <v>0</v>
      </c>
      <c r="F74" s="30" t="str">
        <f>IFERROR(VLOOKUP($C74,[14]Nod!$A$3:$E$979,4,FALSE)," ")</f>
        <v>BOQIII230</v>
      </c>
      <c r="G74" s="30">
        <f>IFERROR(VLOOKUP($C74,[14]Nod!$A$3:$E$979,5,FALSE)," ")</f>
        <v>4</v>
      </c>
      <c r="H74" s="299" t="s">
        <v>31</v>
      </c>
      <c r="I74" s="300"/>
      <c r="J74" s="302"/>
      <c r="K74" s="302"/>
      <c r="L74" s="278"/>
      <c r="M74" s="278"/>
    </row>
    <row r="75" spans="1:13" ht="15" customHeight="1">
      <c r="A75" s="343" t="s">
        <v>199</v>
      </c>
      <c r="B75" s="344" t="s">
        <v>150</v>
      </c>
      <c r="C75" s="38">
        <v>6182</v>
      </c>
      <c r="D75" s="320">
        <v>6.3</v>
      </c>
      <c r="E75" s="298">
        <v>0</v>
      </c>
      <c r="F75" s="30" t="str">
        <f>IFERROR(VLOOKUP($C75,[14]Nod!$A$3:$E$979,4,FALSE)," ")</f>
        <v>VEL230</v>
      </c>
      <c r="G75" s="30">
        <f>IFERROR(VLOOKUP($C75,[14]Nod!$A$3:$E$979,5,FALSE)," ")</f>
        <v>4</v>
      </c>
      <c r="H75" s="303">
        <v>9</v>
      </c>
      <c r="I75" s="296"/>
      <c r="J75" s="318"/>
      <c r="K75" s="297">
        <f>SUM(K76:K81)</f>
        <v>146.54999999999998</v>
      </c>
      <c r="L75" s="278"/>
      <c r="M75" s="278"/>
    </row>
    <row r="76" spans="1:13" ht="15" customHeight="1">
      <c r="A76" s="343" t="s">
        <v>200</v>
      </c>
      <c r="B76" s="344" t="s">
        <v>150</v>
      </c>
      <c r="C76" s="52">
        <v>6380</v>
      </c>
      <c r="D76" s="320">
        <v>8.89</v>
      </c>
      <c r="E76" s="313">
        <v>0</v>
      </c>
      <c r="F76" s="30" t="str">
        <f>IFERROR(VLOOKUP($C76,[14]Nod!$A$3:$E$979,4,FALSE)," ")</f>
        <v>BOQIII230</v>
      </c>
      <c r="G76" s="30">
        <f>IFERROR(VLOOKUP($C76,[14]Nod!$A$3:$E$979,5,FALSE)," ")</f>
        <v>4</v>
      </c>
      <c r="H76" s="293" t="s">
        <v>44</v>
      </c>
      <c r="I76" s="64"/>
      <c r="J76" s="65"/>
      <c r="K76" s="65"/>
      <c r="L76" s="278"/>
      <c r="M76" s="278"/>
    </row>
    <row r="77" spans="1:13" ht="15" customHeight="1">
      <c r="A77" s="343" t="s">
        <v>201</v>
      </c>
      <c r="B77" s="344" t="s">
        <v>156</v>
      </c>
      <c r="C77" s="52">
        <v>6013</v>
      </c>
      <c r="D77" s="320">
        <v>9</v>
      </c>
      <c r="E77" s="313">
        <v>0</v>
      </c>
      <c r="F77" s="30" t="str">
        <f>IFERROR(VLOOKUP($C77,[14]Nod!$A$3:$E$979,4,FALSE)," ")</f>
        <v>MDN34</v>
      </c>
      <c r="G77" s="30">
        <f>IFERROR(VLOOKUP($C77,[14]Nod!$A$3:$E$979,5,FALSE)," ")</f>
        <v>4</v>
      </c>
      <c r="H77" s="66" t="s">
        <v>55</v>
      </c>
      <c r="I77" s="64"/>
      <c r="J77" s="65">
        <v>6059</v>
      </c>
      <c r="K77" s="62">
        <v>138.6</v>
      </c>
      <c r="L77" s="278" t="str">
        <f>VLOOKUP($J77,[14]Nod!$A$3:$E$978,4,FALSE)</f>
        <v>LM1115</v>
      </c>
      <c r="M77" s="278">
        <f>VLOOKUP($J77,[14]Nod!$A$3:$E$978,5,FALSE)</f>
        <v>9</v>
      </c>
    </row>
    <row r="78" spans="1:13" ht="15" customHeight="1">
      <c r="A78" s="343" t="s">
        <v>202</v>
      </c>
      <c r="B78" s="344" t="s">
        <v>150</v>
      </c>
      <c r="C78" s="51">
        <v>6013</v>
      </c>
      <c r="D78" s="320">
        <v>19.8</v>
      </c>
      <c r="E78" s="298">
        <v>0</v>
      </c>
      <c r="F78" s="30" t="str">
        <f>IFERROR(VLOOKUP($C78,[14]Nod!$A$3:$E$979,4,FALSE)," ")</f>
        <v>MDN34</v>
      </c>
      <c r="G78" s="30">
        <f>IFERROR(VLOOKUP($C78,[14]Nod!$A$3:$E$979,5,FALSE)," ")</f>
        <v>4</v>
      </c>
      <c r="H78" s="293" t="s">
        <v>36</v>
      </c>
      <c r="I78" s="64"/>
      <c r="J78" s="65"/>
      <c r="K78" s="65"/>
      <c r="L78" s="278"/>
      <c r="M78" s="278"/>
    </row>
    <row r="79" spans="1:13" ht="15" customHeight="1">
      <c r="A79" s="343" t="s">
        <v>203</v>
      </c>
      <c r="B79" s="344" t="s">
        <v>156</v>
      </c>
      <c r="C79" s="51">
        <v>6520</v>
      </c>
      <c r="D79" s="503"/>
      <c r="E79" s="298">
        <v>0</v>
      </c>
      <c r="F79" s="30" t="str">
        <f>IFERROR(VLOOKUP($C79,[14]Nod!$A$3:$E$979,4,FALSE)," ")</f>
        <v>SBA230</v>
      </c>
      <c r="G79" s="30">
        <f>IFERROR(VLOOKUP($C79,[14]Nod!$A$3:$E$979,5,FALSE)," ")</f>
        <v>4</v>
      </c>
      <c r="H79" s="66" t="s">
        <v>56</v>
      </c>
      <c r="I79" s="64"/>
      <c r="J79" s="65">
        <v>6170</v>
      </c>
      <c r="K79" s="62">
        <v>7.25</v>
      </c>
      <c r="L79" s="278" t="str">
        <f>VLOOKUP($J79,[14]Nod!$A$3:$E$978,4,FALSE)</f>
        <v>CPA115</v>
      </c>
      <c r="M79" s="278">
        <f>VLOOKUP($J79,[14]Nod!$A$3:$E$978,5,FALSE)</f>
        <v>9</v>
      </c>
    </row>
    <row r="80" spans="1:13" ht="15" customHeight="1">
      <c r="A80" s="343" t="s">
        <v>204</v>
      </c>
      <c r="B80" s="344" t="s">
        <v>150</v>
      </c>
      <c r="C80" s="51">
        <v>6550</v>
      </c>
      <c r="D80" s="320">
        <v>7.62</v>
      </c>
      <c r="E80" s="298">
        <v>0</v>
      </c>
      <c r="F80" s="30" t="str">
        <f>IFERROR(VLOOKUP($C80,[14]Nod!$A$3:$E$979,4,FALSE)," ")</f>
        <v>BEV230</v>
      </c>
      <c r="G80" s="30">
        <f>IFERROR(VLOOKUP($C80,[14]Nod!$A$3:$E$979,5,FALSE)," ")</f>
        <v>4</v>
      </c>
      <c r="H80" s="66" t="s">
        <v>37</v>
      </c>
      <c r="I80" s="64"/>
      <c r="J80" s="65">
        <v>6059</v>
      </c>
      <c r="K80" s="62">
        <v>0.7</v>
      </c>
      <c r="L80" s="278" t="str">
        <f>VLOOKUP($J80,[14]Nod!$A$3:$E$978,4,FALSE)</f>
        <v>LM1115</v>
      </c>
      <c r="M80" s="278">
        <f>VLOOKUP($J80,[14]Nod!$A$3:$E$978,5,FALSE)</f>
        <v>9</v>
      </c>
    </row>
    <row r="81" spans="1:13" ht="15" customHeight="1">
      <c r="A81" s="343" t="s">
        <v>205</v>
      </c>
      <c r="B81" s="344" t="s">
        <v>156</v>
      </c>
      <c r="C81" s="38">
        <v>6380</v>
      </c>
      <c r="D81" s="320">
        <v>10</v>
      </c>
      <c r="E81" s="298">
        <v>0</v>
      </c>
      <c r="F81" s="30" t="str">
        <f>IFERROR(VLOOKUP($C81,[14]Nod!$A$3:$E$979,4,FALSE)," ")</f>
        <v>BOQIII230</v>
      </c>
      <c r="G81" s="30">
        <f>IFERROR(VLOOKUP($C81,[14]Nod!$A$3:$E$979,5,FALSE)," ")</f>
        <v>4</v>
      </c>
      <c r="H81" s="299" t="s">
        <v>31</v>
      </c>
      <c r="I81" s="300"/>
      <c r="J81" s="302"/>
      <c r="K81" s="302"/>
      <c r="L81" s="278"/>
      <c r="M81" s="278"/>
    </row>
    <row r="82" spans="1:13" ht="15" customHeight="1">
      <c r="A82" s="343" t="s">
        <v>206</v>
      </c>
      <c r="B82" s="344" t="s">
        <v>156</v>
      </c>
      <c r="C82" s="38">
        <v>6380</v>
      </c>
      <c r="D82" s="320">
        <v>10</v>
      </c>
      <c r="E82" s="298">
        <v>0</v>
      </c>
      <c r="F82" s="30" t="str">
        <f>IFERROR(VLOOKUP($C82,[14]Nod!$A$3:$E$979,4,FALSE)," ")</f>
        <v>BOQIII230</v>
      </c>
      <c r="G82" s="30">
        <f>IFERROR(VLOOKUP($C82,[14]Nod!$A$3:$E$979,5,FALSE)," ")</f>
        <v>4</v>
      </c>
      <c r="H82" s="305">
        <v>10</v>
      </c>
      <c r="I82" s="306"/>
      <c r="J82" s="317"/>
      <c r="K82" s="297">
        <f>SUM(K83:K85)</f>
        <v>53.870000000000005</v>
      </c>
      <c r="L82" s="278"/>
      <c r="M82" s="278"/>
    </row>
    <row r="83" spans="1:13" ht="15" customHeight="1">
      <c r="A83" s="343" t="s">
        <v>207</v>
      </c>
      <c r="B83" s="344" t="s">
        <v>156</v>
      </c>
      <c r="C83" s="38">
        <v>6380</v>
      </c>
      <c r="D83" s="320">
        <v>10</v>
      </c>
      <c r="E83" s="298">
        <v>0</v>
      </c>
      <c r="F83" s="30" t="str">
        <f>IFERROR(VLOOKUP($C83,[14]Nod!$A$3:$E$979,4,FALSE)," ")</f>
        <v>BOQIII230</v>
      </c>
      <c r="G83" s="30">
        <f>IFERROR(VLOOKUP($C83,[14]Nod!$A$3:$E$979,5,FALSE)," ")</f>
        <v>4</v>
      </c>
      <c r="H83" s="293" t="s">
        <v>28</v>
      </c>
      <c r="I83" s="64"/>
      <c r="J83" s="65"/>
      <c r="K83" s="65"/>
      <c r="L83" s="278"/>
      <c r="M83" s="278"/>
    </row>
    <row r="84" spans="1:13" ht="15" customHeight="1">
      <c r="A84" s="343" t="s">
        <v>208</v>
      </c>
      <c r="B84" s="344" t="s">
        <v>156</v>
      </c>
      <c r="C84" s="38">
        <v>6380</v>
      </c>
      <c r="D84" s="320">
        <v>10</v>
      </c>
      <c r="E84" s="298">
        <v>0</v>
      </c>
      <c r="F84" s="30" t="str">
        <f>IFERROR(VLOOKUP($C84,[14]Nod!$A$3:$E$979,4,FALSE)," ")</f>
        <v>BOQIII230</v>
      </c>
      <c r="G84" s="30">
        <f>IFERROR(VLOOKUP($C84,[14]Nod!$A$3:$E$979,5,FALSE)," ")</f>
        <v>4</v>
      </c>
      <c r="H84" s="66" t="s">
        <v>141</v>
      </c>
      <c r="I84" s="64"/>
      <c r="J84" s="65">
        <v>6340</v>
      </c>
      <c r="K84" s="62">
        <v>27.01</v>
      </c>
      <c r="L84" s="278" t="str">
        <f>VLOOKUP($J84,[14]Nod!$A$3:$E$978,4,FALSE)</f>
        <v>CAN230</v>
      </c>
      <c r="M84" s="278">
        <f>VLOOKUP($J84,[14]Nod!$A$3:$E$978,5,FALSE)</f>
        <v>10</v>
      </c>
    </row>
    <row r="85" spans="1:13" ht="15" customHeight="1">
      <c r="A85" s="343" t="s">
        <v>209</v>
      </c>
      <c r="B85" s="344" t="s">
        <v>156</v>
      </c>
      <c r="C85" s="52">
        <v>6013</v>
      </c>
      <c r="D85" s="320">
        <v>9.9600000000000009</v>
      </c>
      <c r="E85" s="298">
        <v>0</v>
      </c>
      <c r="F85" s="30" t="str">
        <f>IFERROR(VLOOKUP($C85,[14]Nod!$A$3:$E$979,4,FALSE)," ")</f>
        <v>MDN34</v>
      </c>
      <c r="G85" s="30">
        <f>IFERROR(VLOOKUP($C85,[14]Nod!$A$3:$E$979,5,FALSE)," ")</f>
        <v>4</v>
      </c>
      <c r="H85" s="66" t="s">
        <v>57</v>
      </c>
      <c r="I85" s="64"/>
      <c r="J85" s="65">
        <v>6340</v>
      </c>
      <c r="K85" s="62">
        <v>26.86</v>
      </c>
      <c r="L85" s="278" t="str">
        <f>VLOOKUP($J85,[14]Nod!$A$3:$E$978,4,FALSE)</f>
        <v>CAN230</v>
      </c>
      <c r="M85" s="278">
        <f>VLOOKUP($J85,[14]Nod!$A$3:$E$978,5,FALSE)</f>
        <v>10</v>
      </c>
    </row>
    <row r="86" spans="1:13" ht="15" customHeight="1">
      <c r="A86" s="343" t="s">
        <v>210</v>
      </c>
      <c r="B86" s="344" t="s">
        <v>156</v>
      </c>
      <c r="C86" s="52">
        <v>6013</v>
      </c>
      <c r="D86" s="320">
        <v>9.9600000000000009</v>
      </c>
      <c r="E86" s="298">
        <v>0</v>
      </c>
      <c r="F86" s="30" t="str">
        <f>IFERROR(VLOOKUP($C86,[14]Nod!$A$3:$E$979,4,FALSE)," ")</f>
        <v>MDN34</v>
      </c>
      <c r="G86" s="30">
        <f>IFERROR(VLOOKUP($C86,[14]Nod!$A$3:$E$979,5,FALSE)," ")</f>
        <v>4</v>
      </c>
      <c r="H86" s="299" t="s">
        <v>31</v>
      </c>
      <c r="I86" s="300"/>
      <c r="J86" s="301"/>
      <c r="K86" s="316"/>
      <c r="L86" s="278"/>
      <c r="M86" s="278"/>
    </row>
    <row r="87" spans="1:13" ht="15" customHeight="1">
      <c r="A87" s="343" t="s">
        <v>327</v>
      </c>
      <c r="B87" s="344" t="s">
        <v>156</v>
      </c>
      <c r="C87" s="52">
        <v>6013</v>
      </c>
      <c r="D87" s="503">
        <v>4.75</v>
      </c>
      <c r="E87" s="298">
        <v>0</v>
      </c>
      <c r="F87" s="30" t="str">
        <f>IFERROR(VLOOKUP($C87,[14]Nod!$A$3:$E$979,4,FALSE)," ")</f>
        <v>MDN34</v>
      </c>
      <c r="G87" s="30">
        <f>IFERROR(VLOOKUP($C87,[14]Nod!$A$3:$E$979,5,FALSE)," ")</f>
        <v>4</v>
      </c>
    </row>
    <row r="88" spans="1:13" ht="15" customHeight="1">
      <c r="A88" s="343" t="s">
        <v>211</v>
      </c>
      <c r="B88" s="344" t="s">
        <v>212</v>
      </c>
      <c r="C88" s="52">
        <v>6013</v>
      </c>
      <c r="D88" s="505">
        <v>1.49478</v>
      </c>
      <c r="E88" s="298">
        <v>0</v>
      </c>
      <c r="F88" s="30" t="str">
        <f>IFERROR(VLOOKUP($C88,[14]Nod!$A$3:$E$979,4,FALSE)," ")</f>
        <v>MDN34</v>
      </c>
      <c r="G88" s="30">
        <f>IFERROR(VLOOKUP($C88,[14]Nod!$A$3:$E$979,5,FALSE)," ")</f>
        <v>4</v>
      </c>
      <c r="L88" s="278"/>
      <c r="M88" s="278"/>
    </row>
    <row r="89" spans="1:13" ht="15" customHeight="1">
      <c r="A89" s="343" t="s">
        <v>328</v>
      </c>
      <c r="B89" s="344" t="s">
        <v>150</v>
      </c>
      <c r="C89" s="52">
        <v>6013</v>
      </c>
      <c r="D89" s="320">
        <v>8.1199999999999992</v>
      </c>
      <c r="E89" s="298">
        <v>0</v>
      </c>
      <c r="F89" s="30" t="str">
        <f>IFERROR(VLOOKUP($C89,[14]Nod!$A$3:$E$979,4,FALSE)," ")</f>
        <v>MDN34</v>
      </c>
      <c r="G89" s="30">
        <f>IFERROR(VLOOKUP($C89,[14]Nod!$A$3:$E$979,5,FALSE)," ")</f>
        <v>4</v>
      </c>
      <c r="L89" s="278"/>
      <c r="M89" s="278"/>
    </row>
    <row r="90" spans="1:13" ht="15" customHeight="1">
      <c r="A90" s="343" t="s">
        <v>213</v>
      </c>
      <c r="B90" s="344" t="s">
        <v>156</v>
      </c>
      <c r="C90" s="38">
        <v>6182</v>
      </c>
      <c r="D90" s="320"/>
      <c r="E90" s="298"/>
      <c r="F90" s="30" t="str">
        <f>IFERROR(VLOOKUP($C90,[14]Nod!$A$3:$E$979,4,FALSE)," ")</f>
        <v>VEL230</v>
      </c>
      <c r="G90" s="30">
        <f>IFERROR(VLOOKUP($C90,[14]Nod!$A$3:$E$979,5,FALSE)," ")</f>
        <v>4</v>
      </c>
      <c r="L90" s="278"/>
      <c r="M90" s="278"/>
    </row>
    <row r="91" spans="1:13" ht="15" customHeight="1">
      <c r="A91" s="343" t="s">
        <v>214</v>
      </c>
      <c r="B91" s="344" t="s">
        <v>156</v>
      </c>
      <c r="C91" s="38">
        <v>6182</v>
      </c>
      <c r="D91" s="320">
        <v>9.9600000000000009</v>
      </c>
      <c r="E91" s="298">
        <v>0</v>
      </c>
      <c r="F91" s="30" t="str">
        <f>IFERROR(VLOOKUP($C91,[14]Nod!$A$3:$E$979,4,FALSE)," ")</f>
        <v>VEL230</v>
      </c>
      <c r="G91" s="30">
        <f>IFERROR(VLOOKUP($C91,[14]Nod!$A$3:$E$979,5,FALSE)," ")</f>
        <v>4</v>
      </c>
      <c r="L91" s="278"/>
      <c r="M91" s="278"/>
    </row>
    <row r="92" spans="1:13" ht="15" customHeight="1">
      <c r="A92" s="343" t="s">
        <v>215</v>
      </c>
      <c r="B92" s="344" t="s">
        <v>150</v>
      </c>
      <c r="C92" s="38">
        <v>6182</v>
      </c>
      <c r="D92" s="320">
        <v>28.84</v>
      </c>
      <c r="E92" s="298">
        <v>0</v>
      </c>
      <c r="F92" s="30" t="str">
        <f>IFERROR(VLOOKUP($C92,[14]Nod!$A$3:$E$979,4,FALSE)," ")</f>
        <v>VEL230</v>
      </c>
      <c r="G92" s="30">
        <f>IFERROR(VLOOKUP($C92,[14]Nod!$A$3:$E$979,5,FALSE)," ")</f>
        <v>4</v>
      </c>
      <c r="L92" s="278"/>
      <c r="M92" s="278"/>
    </row>
    <row r="93" spans="1:13" ht="15" customHeight="1">
      <c r="A93" s="343" t="s">
        <v>216</v>
      </c>
      <c r="B93" s="344" t="s">
        <v>156</v>
      </c>
      <c r="C93" s="38">
        <v>6380</v>
      </c>
      <c r="D93" s="503"/>
      <c r="E93" s="298">
        <v>0</v>
      </c>
      <c r="F93" s="30" t="str">
        <f>IFERROR(VLOOKUP($C93,[14]Nod!$A$3:$E$979,4,FALSE)," ")</f>
        <v>BOQIII230</v>
      </c>
      <c r="G93" s="30">
        <f>IFERROR(VLOOKUP($C93,[14]Nod!$A$3:$E$979,5,FALSE)," ")</f>
        <v>4</v>
      </c>
      <c r="L93" s="278"/>
      <c r="M93" s="278"/>
    </row>
    <row r="94" spans="1:13" ht="15" customHeight="1">
      <c r="A94" s="343" t="s">
        <v>217</v>
      </c>
      <c r="B94" s="344" t="s">
        <v>156</v>
      </c>
      <c r="C94" s="38">
        <v>6013</v>
      </c>
      <c r="D94" s="37">
        <v>9.9</v>
      </c>
      <c r="E94" s="298">
        <v>7</v>
      </c>
      <c r="F94" s="30" t="str">
        <f>IFERROR(VLOOKUP($C94,[14]Nod!$A$3:$E$979,4,FALSE)," ")</f>
        <v>MDN34</v>
      </c>
      <c r="G94" s="30">
        <f>IFERROR(VLOOKUP($C94,[14]Nod!$A$3:$E$979,5,FALSE)," ")</f>
        <v>4</v>
      </c>
      <c r="L94" s="278"/>
      <c r="M94" s="278"/>
    </row>
    <row r="95" spans="1:13" ht="15" customHeight="1">
      <c r="A95" s="343" t="s">
        <v>218</v>
      </c>
      <c r="B95" s="344" t="s">
        <v>156</v>
      </c>
      <c r="C95" s="38">
        <v>6013</v>
      </c>
      <c r="D95" s="332">
        <v>9.8000000000000007</v>
      </c>
      <c r="E95" s="298">
        <v>8</v>
      </c>
      <c r="F95" s="30" t="str">
        <f>IFERROR(VLOOKUP($C95,[14]Nod!$A$3:$E$979,4,FALSE)," ")</f>
        <v>MDN34</v>
      </c>
      <c r="G95" s="30">
        <f>IFERROR(VLOOKUP($C95,[14]Nod!$A$3:$E$979,5,FALSE)," ")</f>
        <v>4</v>
      </c>
      <c r="L95" s="278"/>
      <c r="M95" s="278"/>
    </row>
    <row r="96" spans="1:13" ht="15" customHeight="1">
      <c r="A96" s="346" t="s">
        <v>219</v>
      </c>
      <c r="B96" s="344" t="s">
        <v>156</v>
      </c>
      <c r="C96" s="38">
        <v>6013</v>
      </c>
      <c r="D96" s="320">
        <v>9.8000000000000007</v>
      </c>
      <c r="E96" s="298">
        <v>8</v>
      </c>
      <c r="F96" s="30" t="str">
        <f>IFERROR(VLOOKUP($C96,[14]Nod!$A$3:$E$979,4,FALSE)," ")</f>
        <v>MDN34</v>
      </c>
      <c r="G96" s="30">
        <f>IFERROR(VLOOKUP($C96,[14]Nod!$A$3:$E$979,5,FALSE)," ")</f>
        <v>4</v>
      </c>
      <c r="L96" s="278"/>
      <c r="M96" s="278"/>
    </row>
    <row r="97" spans="1:13" ht="15" customHeight="1">
      <c r="A97" s="346" t="s">
        <v>220</v>
      </c>
      <c r="B97" s="344" t="s">
        <v>156</v>
      </c>
      <c r="C97" s="38">
        <v>6013</v>
      </c>
      <c r="D97" s="320">
        <v>9.8000000000000007</v>
      </c>
      <c r="E97" s="298">
        <v>8</v>
      </c>
      <c r="F97" s="30" t="str">
        <f>IFERROR(VLOOKUP($C97,[14]Nod!$A$3:$E$979,4,FALSE)," ")</f>
        <v>MDN34</v>
      </c>
      <c r="G97" s="30">
        <f>IFERROR(VLOOKUP($C97,[14]Nod!$A$3:$E$979,5,FALSE)," ")</f>
        <v>4</v>
      </c>
      <c r="L97" s="278"/>
      <c r="M97" s="278"/>
    </row>
    <row r="98" spans="1:13" ht="15" customHeight="1">
      <c r="A98" s="346" t="s">
        <v>221</v>
      </c>
      <c r="B98" s="344" t="s">
        <v>156</v>
      </c>
      <c r="C98" s="38">
        <v>6013</v>
      </c>
      <c r="D98" s="320">
        <v>9.9</v>
      </c>
      <c r="E98" s="298">
        <v>11</v>
      </c>
      <c r="F98" s="30" t="str">
        <f>IFERROR(VLOOKUP($C98,[14]Nod!$A$3:$E$979,4,FALSE)," ")</f>
        <v>MDN34</v>
      </c>
      <c r="G98" s="30">
        <f>IFERROR(VLOOKUP($C98,[14]Nod!$A$3:$E$979,5,FALSE)," ")</f>
        <v>4</v>
      </c>
      <c r="L98" s="278"/>
      <c r="M98" s="278"/>
    </row>
    <row r="99" spans="1:13" ht="15" customHeight="1">
      <c r="A99" s="346" t="s">
        <v>222</v>
      </c>
      <c r="B99" s="344" t="s">
        <v>156</v>
      </c>
      <c r="C99" s="38">
        <v>6013</v>
      </c>
      <c r="D99" s="320">
        <v>9.9</v>
      </c>
      <c r="E99" s="298">
        <v>11</v>
      </c>
      <c r="F99" s="30" t="str">
        <f>IFERROR(VLOOKUP($C99,[14]Nod!$A$3:$E$979,4,FALSE)," ")</f>
        <v>MDN34</v>
      </c>
      <c r="G99" s="30">
        <f>IFERROR(VLOOKUP($C99,[14]Nod!$A$3:$E$979,5,FALSE)," ")</f>
        <v>4</v>
      </c>
      <c r="L99" s="278"/>
      <c r="M99" s="278"/>
    </row>
    <row r="100" spans="1:13" ht="15" customHeight="1">
      <c r="A100" s="348" t="s">
        <v>223</v>
      </c>
      <c r="B100" s="344" t="s">
        <v>156</v>
      </c>
      <c r="C100" s="38">
        <v>6013</v>
      </c>
      <c r="D100" s="331">
        <v>9.9</v>
      </c>
      <c r="E100" s="298">
        <v>7</v>
      </c>
      <c r="F100" s="30" t="str">
        <f>IFERROR(VLOOKUP($C100,[14]Nod!$A$3:$E$979,4,FALSE)," ")</f>
        <v>MDN34</v>
      </c>
      <c r="G100" s="30">
        <f>IFERROR(VLOOKUP($C100,[14]Nod!$A$3:$E$979,5,FALSE)," ")</f>
        <v>4</v>
      </c>
      <c r="L100" s="278"/>
      <c r="M100" s="278"/>
    </row>
    <row r="101" spans="1:13" ht="15" customHeight="1">
      <c r="A101" s="348" t="s">
        <v>224</v>
      </c>
      <c r="B101" s="344" t="s">
        <v>156</v>
      </c>
      <c r="C101" s="38">
        <v>6013</v>
      </c>
      <c r="D101" s="320">
        <v>9.9</v>
      </c>
      <c r="E101" s="298">
        <v>12</v>
      </c>
      <c r="F101" s="30" t="str">
        <f>IFERROR(VLOOKUP($C101,[14]Nod!$A$3:$E$979,4,FALSE)," ")</f>
        <v>MDN34</v>
      </c>
      <c r="G101" s="30">
        <f>IFERROR(VLOOKUP($C101,[14]Nod!$A$3:$E$979,5,FALSE)," ")</f>
        <v>4</v>
      </c>
      <c r="L101" s="278"/>
      <c r="M101" s="278"/>
    </row>
    <row r="102" spans="1:13" ht="15" customHeight="1">
      <c r="A102" s="348" t="s">
        <v>225</v>
      </c>
      <c r="B102" s="344" t="s">
        <v>156</v>
      </c>
      <c r="C102" s="38">
        <v>6013</v>
      </c>
      <c r="D102" s="320">
        <v>9.9</v>
      </c>
      <c r="E102" s="298">
        <v>12</v>
      </c>
      <c r="F102" s="30" t="str">
        <f>IFERROR(VLOOKUP($C102,[14]Nod!$A$3:$E$979,4,FALSE)," ")</f>
        <v>MDN34</v>
      </c>
      <c r="G102" s="30">
        <f>IFERROR(VLOOKUP($C102,[14]Nod!$A$3:$E$979,5,FALSE)," ")</f>
        <v>4</v>
      </c>
      <c r="L102" s="278"/>
      <c r="M102" s="278"/>
    </row>
    <row r="103" spans="1:13" ht="15" customHeight="1">
      <c r="A103" s="348" t="s">
        <v>226</v>
      </c>
      <c r="B103" s="344" t="s">
        <v>156</v>
      </c>
      <c r="C103" s="38">
        <v>6013</v>
      </c>
      <c r="D103" s="314"/>
      <c r="E103" s="298"/>
      <c r="F103" s="30" t="str">
        <f>IFERROR(VLOOKUP($C103,[14]Nod!$A$3:$E$979,4,FALSE)," ")</f>
        <v>MDN34</v>
      </c>
      <c r="G103" s="30">
        <f>IFERROR(VLOOKUP($C103,[14]Nod!$A$3:$E$979,5,FALSE)," ")</f>
        <v>4</v>
      </c>
      <c r="L103" s="278"/>
      <c r="M103" s="278"/>
    </row>
    <row r="104" spans="1:13" ht="15" customHeight="1">
      <c r="A104" s="348" t="s">
        <v>227</v>
      </c>
      <c r="B104" s="344" t="s">
        <v>156</v>
      </c>
      <c r="C104" s="38">
        <v>6013</v>
      </c>
      <c r="D104" s="314"/>
      <c r="E104" s="298"/>
      <c r="F104" s="30" t="str">
        <f>IFERROR(VLOOKUP($C104,[14]Nod!$A$3:$E$979,4,FALSE)," ")</f>
        <v>MDN34</v>
      </c>
      <c r="G104" s="30">
        <f>IFERROR(VLOOKUP($C104,[14]Nod!$A$3:$E$979,5,FALSE)," ")</f>
        <v>4</v>
      </c>
      <c r="L104" s="278"/>
      <c r="M104" s="278"/>
    </row>
    <row r="105" spans="1:13" ht="15" customHeight="1">
      <c r="A105" s="348" t="s">
        <v>228</v>
      </c>
      <c r="B105" s="344" t="s">
        <v>156</v>
      </c>
      <c r="C105" s="38">
        <v>6013</v>
      </c>
      <c r="D105" s="314"/>
      <c r="E105" s="298"/>
      <c r="F105" s="30" t="str">
        <f>IFERROR(VLOOKUP($C105,[14]Nod!$A$3:$E$979,4,FALSE)," ")</f>
        <v>MDN34</v>
      </c>
      <c r="G105" s="30">
        <f>IFERROR(VLOOKUP($C105,[14]Nod!$A$3:$E$979,5,FALSE)," ")</f>
        <v>4</v>
      </c>
      <c r="L105" s="278"/>
      <c r="M105" s="278"/>
    </row>
    <row r="106" spans="1:13" ht="15" customHeight="1">
      <c r="A106" s="348" t="s">
        <v>229</v>
      </c>
      <c r="B106" s="344" t="s">
        <v>156</v>
      </c>
      <c r="C106" s="38">
        <v>6013</v>
      </c>
      <c r="D106" s="320">
        <v>9.9</v>
      </c>
      <c r="E106" s="298">
        <v>11</v>
      </c>
      <c r="F106" s="30" t="str">
        <f>IFERROR(VLOOKUP($C106,[14]Nod!$A$3:$E$979,4,FALSE)," ")</f>
        <v>MDN34</v>
      </c>
      <c r="G106" s="30">
        <f>IFERROR(VLOOKUP($C106,[14]Nod!$A$3:$E$979,5,FALSE)," ")</f>
        <v>4</v>
      </c>
      <c r="L106" s="278"/>
      <c r="M106" s="278"/>
    </row>
    <row r="107" spans="1:13" ht="15" customHeight="1">
      <c r="A107" s="348" t="s">
        <v>230</v>
      </c>
      <c r="B107" s="344" t="s">
        <v>156</v>
      </c>
      <c r="C107" s="38">
        <v>6013</v>
      </c>
      <c r="D107" s="320">
        <v>9.9</v>
      </c>
      <c r="E107" s="298">
        <v>11</v>
      </c>
      <c r="F107" s="30" t="str">
        <f>IFERROR(VLOOKUP($C107,[14]Nod!$A$3:$E$979,4,FALSE)," ")</f>
        <v>MDN34</v>
      </c>
      <c r="G107" s="30">
        <f>IFERROR(VLOOKUP($C107,[14]Nod!$A$3:$E$979,5,FALSE)," ")</f>
        <v>4</v>
      </c>
      <c r="L107" s="278"/>
      <c r="M107" s="278"/>
    </row>
    <row r="108" spans="1:13" ht="15" customHeight="1">
      <c r="A108" s="348" t="s">
        <v>231</v>
      </c>
      <c r="B108" s="344" t="s">
        <v>150</v>
      </c>
      <c r="C108" s="349">
        <v>6013</v>
      </c>
      <c r="D108" s="350"/>
      <c r="E108" s="351"/>
      <c r="F108" s="30" t="str">
        <f>IFERROR(VLOOKUP($C108,[14]Nod!$A$3:$E$979,4,FALSE)," ")</f>
        <v>MDN34</v>
      </c>
      <c r="G108" s="30">
        <f>IFERROR(VLOOKUP($C108,[14]Nod!$A$3:$E$979,5,FALSE)," ")</f>
        <v>4</v>
      </c>
      <c r="K108" s="292"/>
      <c r="L108" s="278"/>
      <c r="M108" s="278"/>
    </row>
    <row r="109" spans="1:13" ht="15" customHeight="1">
      <c r="A109" s="346" t="s">
        <v>232</v>
      </c>
      <c r="B109" s="344" t="s">
        <v>156</v>
      </c>
      <c r="C109" s="352">
        <v>6520</v>
      </c>
      <c r="D109" s="353">
        <v>9.99</v>
      </c>
      <c r="E109" s="351">
        <v>0</v>
      </c>
      <c r="F109" s="30" t="str">
        <f>IFERROR(VLOOKUP($C109,[14]Nod!$A$3:$E$979,4,FALSE)," ")</f>
        <v>SBA230</v>
      </c>
      <c r="G109" s="30">
        <f>IFERROR(VLOOKUP($C109,[14]Nod!$A$3:$E$979,5,FALSE)," ")</f>
        <v>4</v>
      </c>
      <c r="K109" s="292"/>
      <c r="L109" s="278"/>
      <c r="M109" s="278"/>
    </row>
    <row r="110" spans="1:13" ht="15" customHeight="1">
      <c r="A110" s="346" t="s">
        <v>233</v>
      </c>
      <c r="B110" s="344" t="s">
        <v>156</v>
      </c>
      <c r="C110" s="352">
        <v>6520</v>
      </c>
      <c r="D110" s="353">
        <v>9.99</v>
      </c>
      <c r="E110" s="351">
        <v>0</v>
      </c>
      <c r="F110" s="30" t="str">
        <f>IFERROR(VLOOKUP($C110,[14]Nod!$A$3:$E$979,4,FALSE)," ")</f>
        <v>SBA230</v>
      </c>
      <c r="G110" s="30">
        <f>IFERROR(VLOOKUP($C110,[14]Nod!$A$3:$E$979,5,FALSE)," ")</f>
        <v>4</v>
      </c>
      <c r="K110" s="292"/>
      <c r="L110" s="278"/>
      <c r="M110" s="278"/>
    </row>
    <row r="111" spans="1:13" ht="15" customHeight="1">
      <c r="A111" s="346" t="s">
        <v>234</v>
      </c>
      <c r="B111" s="344" t="s">
        <v>156</v>
      </c>
      <c r="C111" s="352">
        <v>6520</v>
      </c>
      <c r="D111" s="353">
        <v>9.99</v>
      </c>
      <c r="E111" s="351">
        <v>0</v>
      </c>
      <c r="F111" s="30" t="str">
        <f>IFERROR(VLOOKUP($C111,[14]Nod!$A$3:$E$979,4,FALSE)," ")</f>
        <v>SBA230</v>
      </c>
      <c r="G111" s="30">
        <f>IFERROR(VLOOKUP($C111,[14]Nod!$A$3:$E$979,5,FALSE)," ")</f>
        <v>4</v>
      </c>
      <c r="K111" s="292"/>
      <c r="L111" s="278"/>
      <c r="M111" s="278"/>
    </row>
    <row r="112" spans="1:13" ht="15" customHeight="1">
      <c r="A112" s="346" t="s">
        <v>235</v>
      </c>
      <c r="B112" s="344" t="s">
        <v>156</v>
      </c>
      <c r="C112" s="352">
        <v>6520</v>
      </c>
      <c r="D112" s="353">
        <v>9.99</v>
      </c>
      <c r="E112" s="351">
        <v>0</v>
      </c>
      <c r="F112" s="30" t="str">
        <f>IFERROR(VLOOKUP($C112,[14]Nod!$A$3:$E$979,4,FALSE)," ")</f>
        <v>SBA230</v>
      </c>
      <c r="G112" s="30">
        <f>IFERROR(VLOOKUP($C112,[14]Nod!$A$3:$E$979,5,FALSE)," ")</f>
        <v>4</v>
      </c>
      <c r="K112" s="292"/>
      <c r="L112" s="278"/>
      <c r="M112" s="278"/>
    </row>
    <row r="113" spans="1:13" ht="15" customHeight="1">
      <c r="A113" s="346" t="s">
        <v>236</v>
      </c>
      <c r="B113" s="344" t="s">
        <v>156</v>
      </c>
      <c r="C113" s="352">
        <v>6520</v>
      </c>
      <c r="D113" s="353">
        <v>9.99</v>
      </c>
      <c r="E113" s="351">
        <v>0</v>
      </c>
      <c r="F113" s="30" t="str">
        <f>IFERROR(VLOOKUP($C113,[14]Nod!$A$3:$E$979,4,FALSE)," ")</f>
        <v>SBA230</v>
      </c>
      <c r="G113" s="30">
        <f>IFERROR(VLOOKUP($C113,[14]Nod!$A$3:$E$979,5,FALSE)," ")</f>
        <v>4</v>
      </c>
      <c r="K113" s="292"/>
      <c r="L113" s="278"/>
      <c r="M113" s="278"/>
    </row>
    <row r="114" spans="1:13" ht="15" customHeight="1">
      <c r="A114" s="346" t="s">
        <v>237</v>
      </c>
      <c r="B114" s="344" t="s">
        <v>156</v>
      </c>
      <c r="C114" s="352">
        <v>6520</v>
      </c>
      <c r="D114" s="353">
        <v>9.99</v>
      </c>
      <c r="E114" s="351">
        <v>0</v>
      </c>
      <c r="F114" s="30" t="str">
        <f>IFERROR(VLOOKUP($C114,[14]Nod!$A$3:$E$979,4,FALSE)," ")</f>
        <v>SBA230</v>
      </c>
      <c r="G114" s="30">
        <f>IFERROR(VLOOKUP($C114,[14]Nod!$A$3:$E$979,5,FALSE)," ")</f>
        <v>4</v>
      </c>
      <c r="K114" s="292"/>
      <c r="L114" s="278"/>
      <c r="M114" s="278"/>
    </row>
    <row r="115" spans="1:13" ht="15" customHeight="1">
      <c r="A115" s="347" t="s">
        <v>238</v>
      </c>
      <c r="B115" s="344" t="s">
        <v>156</v>
      </c>
      <c r="C115" s="352">
        <v>6520</v>
      </c>
      <c r="D115" s="353">
        <v>9.99</v>
      </c>
      <c r="E115" s="351">
        <v>0</v>
      </c>
      <c r="F115" s="30" t="str">
        <f>IFERROR(VLOOKUP($C115,[14]Nod!$A$3:$E$979,4,FALSE)," ")</f>
        <v>SBA230</v>
      </c>
      <c r="G115" s="30">
        <f>IFERROR(VLOOKUP($C115,[14]Nod!$A$3:$E$979,5,FALSE)," ")</f>
        <v>4</v>
      </c>
      <c r="K115" s="292"/>
      <c r="L115" s="278"/>
      <c r="M115" s="278"/>
    </row>
    <row r="116" spans="1:13" ht="15" customHeight="1">
      <c r="A116" s="50" t="s">
        <v>31</v>
      </c>
      <c r="B116" s="40"/>
      <c r="C116" s="41"/>
      <c r="D116" s="41"/>
      <c r="E116" s="310"/>
      <c r="F116" s="30" t="str">
        <f>IFERROR(VLOOKUP($C116,[14]Nod!$A$3:$E$979,4,FALSE)," ")</f>
        <v xml:space="preserve"> </v>
      </c>
      <c r="G116" s="30" t="str">
        <f>IFERROR(VLOOKUP($C116,[14]Nod!$A$3:$E$979,5,FALSE)," ")</f>
        <v xml:space="preserve"> </v>
      </c>
      <c r="K116" s="292"/>
      <c r="L116" s="278"/>
      <c r="M116" s="278"/>
    </row>
    <row r="117" spans="1:13" ht="15" customHeight="1">
      <c r="A117" s="45">
        <v>5</v>
      </c>
      <c r="B117" s="42"/>
      <c r="C117" s="43"/>
      <c r="D117" s="44">
        <f>SUM(D118:D165)</f>
        <v>759.03666989999988</v>
      </c>
      <c r="E117" s="294"/>
      <c r="F117" s="30" t="str">
        <f>IFERROR(VLOOKUP($C117,[14]Nod!$A$3:$E$979,4,FALSE)," ")</f>
        <v xml:space="preserve"> </v>
      </c>
      <c r="G117" s="30" t="str">
        <f>IFERROR(VLOOKUP($C117,[14]Nod!$A$3:$E$979,5,FALSE)," ")</f>
        <v xml:space="preserve"> </v>
      </c>
      <c r="K117" s="292"/>
      <c r="L117" s="278"/>
      <c r="M117" s="278"/>
    </row>
    <row r="118" spans="1:13" ht="15" customHeight="1">
      <c r="A118" s="343" t="s">
        <v>239</v>
      </c>
      <c r="B118" s="344" t="s">
        <v>150</v>
      </c>
      <c r="C118" s="37">
        <v>6460</v>
      </c>
      <c r="D118" s="137">
        <v>6.66</v>
      </c>
      <c r="E118" s="298">
        <v>0</v>
      </c>
      <c r="F118" s="30" t="str">
        <f>IFERROR(VLOOKUP($C118,[14]Nod!$A$3:$E$979,4,FALSE)," ")</f>
        <v>ECO230</v>
      </c>
      <c r="G118" s="30">
        <f>IFERROR(VLOOKUP($C118,[14]Nod!$A$3:$E$979,5,FALSE)," ")</f>
        <v>5</v>
      </c>
      <c r="K118" s="292"/>
      <c r="L118" s="278"/>
      <c r="M118" s="278"/>
    </row>
    <row r="119" spans="1:13" ht="15" customHeight="1">
      <c r="A119" s="343" t="s">
        <v>240</v>
      </c>
      <c r="B119" s="344" t="s">
        <v>150</v>
      </c>
      <c r="C119" s="37">
        <v>6460</v>
      </c>
      <c r="D119" s="137">
        <v>7</v>
      </c>
      <c r="E119" s="315">
        <v>0</v>
      </c>
      <c r="F119" s="30" t="str">
        <f>IFERROR(VLOOKUP($C119,[14]Nod!$A$3:$E$979,4,FALSE)," ")</f>
        <v>ECO230</v>
      </c>
      <c r="G119" s="30">
        <f>IFERROR(VLOOKUP($C119,[14]Nod!$A$3:$E$979,5,FALSE)," ")</f>
        <v>5</v>
      </c>
      <c r="K119" s="292"/>
      <c r="L119" s="278"/>
      <c r="M119" s="278"/>
    </row>
    <row r="120" spans="1:13" ht="15" customHeight="1">
      <c r="A120" s="343" t="s">
        <v>241</v>
      </c>
      <c r="B120" s="344" t="s">
        <v>156</v>
      </c>
      <c r="C120" s="37">
        <v>6460</v>
      </c>
      <c r="D120" s="137">
        <v>9.93</v>
      </c>
      <c r="E120" s="298">
        <v>0</v>
      </c>
      <c r="F120" s="30" t="str">
        <f>IFERROR(VLOOKUP($C120,[14]Nod!$A$3:$E$979,4,FALSE)," ")</f>
        <v>ECO230</v>
      </c>
      <c r="G120" s="30">
        <f>IFERROR(VLOOKUP($C120,[14]Nod!$A$3:$E$979,5,FALSE)," ")</f>
        <v>5</v>
      </c>
      <c r="K120" s="292"/>
      <c r="L120" s="278"/>
      <c r="M120" s="278"/>
    </row>
    <row r="121" spans="1:13" ht="15" customHeight="1">
      <c r="A121" s="343" t="s">
        <v>242</v>
      </c>
      <c r="B121" s="344" t="s">
        <v>156</v>
      </c>
      <c r="C121" s="37">
        <v>6460</v>
      </c>
      <c r="D121" s="137">
        <v>9.99</v>
      </c>
      <c r="E121" s="298">
        <v>0</v>
      </c>
      <c r="F121" s="30" t="str">
        <f>IFERROR(VLOOKUP($C121,[14]Nod!$A$3:$E$979,4,FALSE)," ")</f>
        <v>ECO230</v>
      </c>
      <c r="G121" s="30">
        <f>IFERROR(VLOOKUP($C121,[14]Nod!$A$3:$E$979,5,FALSE)," ")</f>
        <v>5</v>
      </c>
      <c r="K121" s="292"/>
      <c r="L121" s="278"/>
      <c r="M121" s="278"/>
    </row>
    <row r="122" spans="1:13" ht="15" customHeight="1">
      <c r="A122" s="506" t="s">
        <v>329</v>
      </c>
      <c r="B122" s="344" t="s">
        <v>156</v>
      </c>
      <c r="C122" s="37">
        <v>6460</v>
      </c>
      <c r="D122" s="504"/>
      <c r="E122" s="298">
        <v>0</v>
      </c>
      <c r="F122" s="30" t="str">
        <f>IFERROR(VLOOKUP($C122,[14]Nod!$A$3:$E$979,4,FALSE)," ")</f>
        <v>ECO230</v>
      </c>
      <c r="G122" s="30">
        <f>IFERROR(VLOOKUP($C122,[14]Nod!$A$3:$E$979,5,FALSE)," ")</f>
        <v>5</v>
      </c>
      <c r="K122" s="292"/>
      <c r="L122" s="278"/>
      <c r="M122" s="278"/>
    </row>
    <row r="123" spans="1:13" ht="15" customHeight="1">
      <c r="A123" s="506" t="s">
        <v>330</v>
      </c>
      <c r="B123" s="344" t="s">
        <v>156</v>
      </c>
      <c r="C123" s="37">
        <v>6008</v>
      </c>
      <c r="D123" s="504"/>
      <c r="E123" s="298">
        <v>0</v>
      </c>
      <c r="F123" s="30" t="str">
        <f>IFERROR(VLOOKUP($C123,[14]Nod!$A$3:$E$979,4,FALSE)," ")</f>
        <v>LSA230</v>
      </c>
      <c r="G123" s="30">
        <f>IFERROR(VLOOKUP($C123,[14]Nod!$A$3:$E$979,5,FALSE)," ")</f>
        <v>5</v>
      </c>
      <c r="K123" s="292"/>
      <c r="L123" s="278"/>
      <c r="M123" s="278"/>
    </row>
    <row r="124" spans="1:13" ht="15" customHeight="1">
      <c r="A124" s="343" t="s">
        <v>243</v>
      </c>
      <c r="B124" s="344" t="s">
        <v>156</v>
      </c>
      <c r="C124" s="37">
        <v>6460</v>
      </c>
      <c r="D124" s="137">
        <v>8.5</v>
      </c>
      <c r="E124" s="298">
        <v>0</v>
      </c>
      <c r="F124" s="30" t="str">
        <f>IFERROR(VLOOKUP($C124,[14]Nod!$A$3:$E$979,4,FALSE)," ")</f>
        <v>ECO230</v>
      </c>
      <c r="G124" s="30">
        <f>IFERROR(VLOOKUP($C124,[14]Nod!$A$3:$E$979,5,FALSE)," ")</f>
        <v>5</v>
      </c>
      <c r="K124" s="292"/>
      <c r="L124" s="278"/>
      <c r="M124" s="278"/>
    </row>
    <row r="125" spans="1:13" ht="15" customHeight="1">
      <c r="A125" s="343" t="s">
        <v>244</v>
      </c>
      <c r="B125" s="344" t="s">
        <v>156</v>
      </c>
      <c r="C125" s="37">
        <v>6460</v>
      </c>
      <c r="D125" s="137">
        <v>9.52</v>
      </c>
      <c r="E125" s="298">
        <v>0</v>
      </c>
      <c r="F125" s="30" t="str">
        <f>IFERROR(VLOOKUP($C125,[14]Nod!$A$3:$E$979,4,FALSE)," ")</f>
        <v>ECO230</v>
      </c>
      <c r="G125" s="30">
        <f>IFERROR(VLOOKUP($C125,[14]Nod!$A$3:$E$979,5,FALSE)," ")</f>
        <v>5</v>
      </c>
      <c r="K125" s="292"/>
      <c r="L125" s="278"/>
      <c r="M125" s="278"/>
    </row>
    <row r="126" spans="1:13" ht="15" customHeight="1">
      <c r="A126" s="343" t="s">
        <v>245</v>
      </c>
      <c r="B126" s="344" t="s">
        <v>156</v>
      </c>
      <c r="C126" s="37">
        <v>6460</v>
      </c>
      <c r="D126" s="137">
        <v>10</v>
      </c>
      <c r="E126" s="298">
        <v>0</v>
      </c>
      <c r="F126" s="30" t="str">
        <f>IFERROR(VLOOKUP($C126,[14]Nod!$A$3:$E$979,4,FALSE)," ")</f>
        <v>ECO230</v>
      </c>
      <c r="G126" s="30">
        <f>IFERROR(VLOOKUP($C126,[14]Nod!$A$3:$E$979,5,FALSE)," ")</f>
        <v>5</v>
      </c>
      <c r="K126" s="292"/>
      <c r="L126" s="278"/>
      <c r="M126" s="278"/>
    </row>
    <row r="127" spans="1:13" ht="15" customHeight="1">
      <c r="A127" s="343" t="s">
        <v>246</v>
      </c>
      <c r="B127" s="344" t="s">
        <v>156</v>
      </c>
      <c r="C127" s="37">
        <v>6460</v>
      </c>
      <c r="D127" s="137">
        <v>8.5</v>
      </c>
      <c r="E127" s="298">
        <v>0</v>
      </c>
      <c r="F127" s="30" t="str">
        <f>IFERROR(VLOOKUP($C127,[14]Nod!$A$3:$E$979,4,FALSE)," ")</f>
        <v>ECO230</v>
      </c>
      <c r="G127" s="30">
        <f>IFERROR(VLOOKUP($C127,[14]Nod!$A$3:$E$979,5,FALSE)," ")</f>
        <v>5</v>
      </c>
      <c r="K127" s="292"/>
      <c r="L127" s="278"/>
      <c r="M127" s="278"/>
    </row>
    <row r="128" spans="1:13" ht="15" customHeight="1">
      <c r="A128" s="343" t="s">
        <v>247</v>
      </c>
      <c r="B128" s="344" t="s">
        <v>156</v>
      </c>
      <c r="C128" s="37">
        <v>6460</v>
      </c>
      <c r="D128" s="137">
        <v>10</v>
      </c>
      <c r="E128" s="298">
        <v>0</v>
      </c>
      <c r="F128" s="30" t="str">
        <f>IFERROR(VLOOKUP($C128,[14]Nod!$A$3:$E$979,4,FALSE)," ")</f>
        <v>ECO230</v>
      </c>
      <c r="G128" s="30">
        <f>IFERROR(VLOOKUP($C128,[14]Nod!$A$3:$E$979,5,FALSE)," ")</f>
        <v>5</v>
      </c>
      <c r="K128" s="292"/>
      <c r="L128" s="278"/>
      <c r="M128" s="278"/>
    </row>
    <row r="129" spans="1:13" ht="15" customHeight="1">
      <c r="A129" s="343" t="s">
        <v>248</v>
      </c>
      <c r="B129" s="344" t="s">
        <v>156</v>
      </c>
      <c r="C129" s="37">
        <v>6460</v>
      </c>
      <c r="D129" s="137">
        <v>10</v>
      </c>
      <c r="E129" s="298">
        <v>0</v>
      </c>
      <c r="F129" s="30" t="str">
        <f>IFERROR(VLOOKUP($C129,[14]Nod!$A$3:$E$979,4,FALSE)," ")</f>
        <v>ECO230</v>
      </c>
      <c r="G129" s="30">
        <f>IFERROR(VLOOKUP($C129,[14]Nod!$A$3:$E$979,5,FALSE)," ")</f>
        <v>5</v>
      </c>
      <c r="K129" s="292"/>
      <c r="L129" s="278"/>
      <c r="M129" s="278"/>
    </row>
    <row r="130" spans="1:13" ht="15" customHeight="1">
      <c r="A130" s="343" t="s">
        <v>249</v>
      </c>
      <c r="B130" s="344" t="s">
        <v>250</v>
      </c>
      <c r="C130" s="37">
        <v>6460</v>
      </c>
      <c r="D130" s="137">
        <v>17.5</v>
      </c>
      <c r="E130" s="298">
        <v>0</v>
      </c>
      <c r="F130" s="30" t="str">
        <f>IFERROR(VLOOKUP($C130,[14]Nod!$A$3:$E$979,4,FALSE)," ")</f>
        <v>ECO230</v>
      </c>
      <c r="G130" s="30">
        <f>IFERROR(VLOOKUP($C130,[14]Nod!$A$3:$E$979,5,FALSE)," ")</f>
        <v>5</v>
      </c>
      <c r="K130" s="292"/>
      <c r="L130" s="278"/>
      <c r="M130" s="278"/>
    </row>
    <row r="131" spans="1:13" ht="15" customHeight="1">
      <c r="A131" s="343" t="s">
        <v>251</v>
      </c>
      <c r="B131" s="344" t="s">
        <v>250</v>
      </c>
      <c r="C131" s="37">
        <v>6460</v>
      </c>
      <c r="D131" s="137">
        <v>52.5</v>
      </c>
      <c r="E131" s="298">
        <v>0</v>
      </c>
      <c r="F131" s="30" t="str">
        <f>IFERROR(VLOOKUP($C131,[14]Nod!$A$3:$E$979,4,FALSE)," ")</f>
        <v>ECO230</v>
      </c>
      <c r="G131" s="30">
        <f>IFERROR(VLOOKUP($C131,[14]Nod!$A$3:$E$979,5,FALSE)," ")</f>
        <v>5</v>
      </c>
      <c r="K131" s="292"/>
      <c r="L131" s="278"/>
      <c r="M131" s="278"/>
    </row>
    <row r="132" spans="1:13" ht="15" customHeight="1">
      <c r="A132" s="343" t="s">
        <v>252</v>
      </c>
      <c r="B132" s="344" t="s">
        <v>250</v>
      </c>
      <c r="C132" s="37">
        <v>6460</v>
      </c>
      <c r="D132" s="137">
        <v>55</v>
      </c>
      <c r="E132" s="298">
        <v>0</v>
      </c>
      <c r="F132" s="30" t="str">
        <f>IFERROR(VLOOKUP($C132,[14]Nod!$A$3:$E$979,4,FALSE)," ")</f>
        <v>ECO230</v>
      </c>
      <c r="G132" s="30">
        <f>IFERROR(VLOOKUP($C132,[14]Nod!$A$3:$E$979,5,FALSE)," ")</f>
        <v>5</v>
      </c>
      <c r="K132" s="292"/>
      <c r="L132" s="278"/>
      <c r="M132" s="278"/>
    </row>
    <row r="133" spans="1:13" ht="15" customHeight="1">
      <c r="A133" s="343" t="s">
        <v>253</v>
      </c>
      <c r="B133" s="344" t="s">
        <v>250</v>
      </c>
      <c r="C133" s="37">
        <v>6460</v>
      </c>
      <c r="D133" s="137">
        <v>62.5</v>
      </c>
      <c r="E133" s="298">
        <v>0</v>
      </c>
      <c r="F133" s="30" t="str">
        <f>IFERROR(VLOOKUP($C133,[14]Nod!$A$3:$E$979,4,FALSE)," ")</f>
        <v>ECO230</v>
      </c>
      <c r="G133" s="30">
        <f>IFERROR(VLOOKUP($C133,[14]Nod!$A$3:$E$979,5,FALSE)," ")</f>
        <v>5</v>
      </c>
      <c r="K133" s="292"/>
      <c r="L133" s="278"/>
      <c r="M133" s="278"/>
    </row>
    <row r="134" spans="1:13" ht="15" customHeight="1">
      <c r="A134" s="343" t="s">
        <v>254</v>
      </c>
      <c r="B134" s="344" t="s">
        <v>250</v>
      </c>
      <c r="C134" s="37">
        <v>6460</v>
      </c>
      <c r="D134" s="137">
        <v>32.5</v>
      </c>
      <c r="E134" s="298">
        <v>0</v>
      </c>
      <c r="F134" s="30" t="str">
        <f>IFERROR(VLOOKUP($C134,[14]Nod!$A$3:$E$979,4,FALSE)," ")</f>
        <v>ECO230</v>
      </c>
      <c r="G134" s="30">
        <f>IFERROR(VLOOKUP($C134,[14]Nod!$A$3:$E$979,5,FALSE)," ")</f>
        <v>5</v>
      </c>
      <c r="K134" s="292"/>
      <c r="L134" s="278"/>
      <c r="M134" s="278"/>
    </row>
    <row r="135" spans="1:13" ht="15" customHeight="1">
      <c r="A135" s="343" t="s">
        <v>255</v>
      </c>
      <c r="B135" s="344" t="s">
        <v>250</v>
      </c>
      <c r="C135" s="37">
        <v>6460</v>
      </c>
      <c r="D135" s="137">
        <v>50</v>
      </c>
      <c r="E135" s="298">
        <v>0</v>
      </c>
      <c r="F135" s="30" t="str">
        <f>IFERROR(VLOOKUP($C135,[14]Nod!$A$3:$E$979,4,FALSE)," ")</f>
        <v>ECO230</v>
      </c>
      <c r="G135" s="30">
        <f>IFERROR(VLOOKUP($C135,[14]Nod!$A$3:$E$979,5,FALSE)," ")</f>
        <v>5</v>
      </c>
      <c r="K135" s="292"/>
      <c r="L135" s="278"/>
      <c r="M135" s="278"/>
    </row>
    <row r="136" spans="1:13" ht="15" customHeight="1">
      <c r="A136" s="343" t="s">
        <v>256</v>
      </c>
      <c r="B136" s="344" t="s">
        <v>156</v>
      </c>
      <c r="C136" s="37">
        <v>6460</v>
      </c>
      <c r="D136" s="137">
        <v>16</v>
      </c>
      <c r="E136" s="298">
        <v>0</v>
      </c>
      <c r="F136" s="30" t="str">
        <f>IFERROR(VLOOKUP($C136,[14]Nod!$A$3:$E$979,4,FALSE)," ")</f>
        <v>ECO230</v>
      </c>
      <c r="G136" s="30">
        <f>IFERROR(VLOOKUP($C136,[14]Nod!$A$3:$E$979,5,FALSE)," ")</f>
        <v>5</v>
      </c>
      <c r="K136" s="292"/>
      <c r="L136" s="278"/>
      <c r="M136" s="278"/>
    </row>
    <row r="137" spans="1:13" ht="15" customHeight="1">
      <c r="A137" s="343" t="s">
        <v>257</v>
      </c>
      <c r="B137" s="344" t="s">
        <v>156</v>
      </c>
      <c r="C137" s="55">
        <v>6460</v>
      </c>
      <c r="D137" s="137">
        <v>5.66</v>
      </c>
      <c r="E137" s="298">
        <v>0</v>
      </c>
      <c r="F137" s="30" t="str">
        <f>IFERROR(VLOOKUP($C137,[14]Nod!$A$3:$E$979,4,FALSE)," ")</f>
        <v>ECO230</v>
      </c>
      <c r="G137" s="30">
        <f>IFERROR(VLOOKUP($C137,[14]Nod!$A$3:$E$979,5,FALSE)," ")</f>
        <v>5</v>
      </c>
      <c r="K137" s="292"/>
      <c r="L137" s="278"/>
      <c r="M137" s="278"/>
    </row>
    <row r="138" spans="1:13" ht="15" customHeight="1">
      <c r="A138" s="343" t="s">
        <v>142</v>
      </c>
      <c r="B138" s="344" t="s">
        <v>156</v>
      </c>
      <c r="C138" s="53">
        <v>6008</v>
      </c>
      <c r="D138" s="137">
        <v>9.9</v>
      </c>
      <c r="E138" s="298">
        <v>0</v>
      </c>
      <c r="F138" s="30" t="str">
        <f>IFERROR(VLOOKUP($C138,[14]Nod!$A$3:$E$979,4,FALSE)," ")</f>
        <v>LSA230</v>
      </c>
      <c r="G138" s="30">
        <f>IFERROR(VLOOKUP($C138,[14]Nod!$A$3:$E$979,5,FALSE)," ")</f>
        <v>5</v>
      </c>
      <c r="K138" s="292"/>
      <c r="L138" s="278"/>
      <c r="M138" s="278"/>
    </row>
    <row r="139" spans="1:13" ht="15" customHeight="1">
      <c r="A139" s="343" t="s">
        <v>258</v>
      </c>
      <c r="B139" s="344" t="s">
        <v>156</v>
      </c>
      <c r="C139" s="53">
        <v>6008</v>
      </c>
      <c r="D139" s="504"/>
      <c r="E139" s="298">
        <v>0</v>
      </c>
      <c r="F139" s="30" t="str">
        <f>IFERROR(VLOOKUP($C139,[14]Nod!$A$3:$E$979,4,FALSE)," ")</f>
        <v>LSA230</v>
      </c>
      <c r="G139" s="30">
        <f>IFERROR(VLOOKUP($C139,[14]Nod!$A$3:$E$979,5,FALSE)," ")</f>
        <v>5</v>
      </c>
      <c r="K139" s="292"/>
      <c r="L139" s="278"/>
      <c r="M139" s="278"/>
    </row>
    <row r="140" spans="1:13" ht="15" customHeight="1">
      <c r="A140" s="343" t="s">
        <v>259</v>
      </c>
      <c r="B140" s="344" t="s">
        <v>156</v>
      </c>
      <c r="C140" s="53">
        <v>6008</v>
      </c>
      <c r="D140" s="137">
        <v>120</v>
      </c>
      <c r="E140" s="298">
        <v>0</v>
      </c>
      <c r="F140" s="30" t="str">
        <f>IFERROR(VLOOKUP($C140,[14]Nod!$A$3:$E$979,4,FALSE)," ")</f>
        <v>LSA230</v>
      </c>
      <c r="G140" s="30">
        <f>IFERROR(VLOOKUP($C140,[14]Nod!$A$3:$E$979,5,FALSE)," ")</f>
        <v>5</v>
      </c>
      <c r="K140" s="292"/>
      <c r="L140" s="278"/>
      <c r="M140" s="278"/>
    </row>
    <row r="141" spans="1:13" ht="15" customHeight="1">
      <c r="A141" s="343" t="s">
        <v>260</v>
      </c>
      <c r="B141" s="344" t="s">
        <v>156</v>
      </c>
      <c r="C141" s="53">
        <v>6008</v>
      </c>
      <c r="D141" s="137">
        <v>9.9700000000000006</v>
      </c>
      <c r="E141" s="298">
        <v>0</v>
      </c>
      <c r="F141" s="30" t="str">
        <f>IFERROR(VLOOKUP($C141,[14]Nod!$A$3:$E$979,4,FALSE)," ")</f>
        <v>LSA230</v>
      </c>
      <c r="G141" s="30">
        <f>IFERROR(VLOOKUP($C141,[14]Nod!$A$3:$E$979,5,FALSE)," ")</f>
        <v>5</v>
      </c>
      <c r="K141" s="292"/>
      <c r="L141" s="278"/>
      <c r="M141" s="278"/>
    </row>
    <row r="142" spans="1:13" ht="15" customHeight="1">
      <c r="A142" s="343" t="s">
        <v>261</v>
      </c>
      <c r="B142" s="344" t="s">
        <v>156</v>
      </c>
      <c r="C142" s="53">
        <v>6008</v>
      </c>
      <c r="D142" s="137">
        <v>9.9700000000000006</v>
      </c>
      <c r="E142" s="298">
        <v>0</v>
      </c>
      <c r="F142" s="30" t="str">
        <f>IFERROR(VLOOKUP($C142,[14]Nod!$A$3:$E$979,4,FALSE)," ")</f>
        <v>LSA230</v>
      </c>
      <c r="G142" s="30">
        <f>IFERROR(VLOOKUP($C142,[14]Nod!$A$3:$E$979,5,FALSE)," ")</f>
        <v>5</v>
      </c>
      <c r="K142" s="292"/>
      <c r="L142" s="278"/>
      <c r="M142" s="278"/>
    </row>
    <row r="143" spans="1:13" ht="15" customHeight="1">
      <c r="A143" s="343" t="s">
        <v>331</v>
      </c>
      <c r="B143" s="344" t="s">
        <v>156</v>
      </c>
      <c r="C143" s="53">
        <v>6008</v>
      </c>
      <c r="D143" s="137">
        <v>9.8800000000000008</v>
      </c>
      <c r="E143" s="298">
        <v>0</v>
      </c>
      <c r="F143" s="30" t="str">
        <f>IFERROR(VLOOKUP($C143,[14]Nod!$A$3:$E$979,4,FALSE)," ")</f>
        <v>LSA230</v>
      </c>
      <c r="G143" s="30">
        <f>IFERROR(VLOOKUP($C143,[14]Nod!$A$3:$E$979,5,FALSE)," ")</f>
        <v>5</v>
      </c>
      <c r="K143" s="292"/>
      <c r="L143" s="278"/>
      <c r="M143" s="278"/>
    </row>
    <row r="144" spans="1:13" ht="15" customHeight="1">
      <c r="A144" s="343" t="s">
        <v>332</v>
      </c>
      <c r="B144" s="344" t="s">
        <v>156</v>
      </c>
      <c r="C144" s="53">
        <v>6008</v>
      </c>
      <c r="D144" s="507">
        <v>5.61</v>
      </c>
      <c r="E144" s="298">
        <v>0</v>
      </c>
      <c r="F144" s="30" t="str">
        <f>IFERROR(VLOOKUP($C144,[14]Nod!$A$3:$E$979,4,FALSE)," ")</f>
        <v>LSA230</v>
      </c>
      <c r="G144" s="30">
        <f>IFERROR(VLOOKUP($C144,[14]Nod!$A$3:$E$979,5,FALSE)," ")</f>
        <v>5</v>
      </c>
      <c r="K144" s="292"/>
      <c r="L144" s="278"/>
      <c r="M144" s="278"/>
    </row>
    <row r="145" spans="1:13" ht="15" customHeight="1">
      <c r="A145" s="343" t="s">
        <v>333</v>
      </c>
      <c r="B145" s="344" t="s">
        <v>156</v>
      </c>
      <c r="C145" s="53">
        <v>6008</v>
      </c>
      <c r="D145" s="507">
        <v>5.8</v>
      </c>
      <c r="E145" s="298">
        <v>0</v>
      </c>
      <c r="F145" s="30" t="str">
        <f>IFERROR(VLOOKUP($C145,[14]Nod!$A$3:$E$979,4,FALSE)," ")</f>
        <v>LSA230</v>
      </c>
      <c r="G145" s="30">
        <f>IFERROR(VLOOKUP($C145,[14]Nod!$A$3:$E$979,5,FALSE)," ")</f>
        <v>5</v>
      </c>
      <c r="K145" s="292"/>
      <c r="L145" s="278"/>
      <c r="M145" s="278"/>
    </row>
    <row r="146" spans="1:13" ht="15" customHeight="1">
      <c r="A146" s="343" t="s">
        <v>334</v>
      </c>
      <c r="B146" s="344" t="s">
        <v>156</v>
      </c>
      <c r="C146" s="53">
        <v>6008</v>
      </c>
      <c r="D146" s="507">
        <v>6.02</v>
      </c>
      <c r="E146" s="298">
        <v>0</v>
      </c>
      <c r="F146" s="30" t="str">
        <f>IFERROR(VLOOKUP($C146,[14]Nod!$A$3:$E$979,4,FALSE)," ")</f>
        <v>LSA230</v>
      </c>
      <c r="G146" s="30">
        <f>IFERROR(VLOOKUP($C146,[14]Nod!$A$3:$E$979,5,FALSE)," ")</f>
        <v>5</v>
      </c>
      <c r="K146" s="292"/>
      <c r="L146" s="278"/>
      <c r="M146" s="278"/>
    </row>
    <row r="147" spans="1:13" ht="15" customHeight="1">
      <c r="A147" s="343" t="s">
        <v>262</v>
      </c>
      <c r="B147" s="344" t="s">
        <v>156</v>
      </c>
      <c r="C147" s="53">
        <v>6008</v>
      </c>
      <c r="D147" s="137">
        <v>11.7</v>
      </c>
      <c r="E147" s="298">
        <v>0</v>
      </c>
      <c r="F147" s="30" t="str">
        <f>IFERROR(VLOOKUP($C147,[14]Nod!$A$3:$E$979,4,FALSE)," ")</f>
        <v>LSA230</v>
      </c>
      <c r="G147" s="30">
        <f>IFERROR(VLOOKUP($C147,[14]Nod!$A$3:$E$979,5,FALSE)," ")</f>
        <v>5</v>
      </c>
      <c r="K147" s="292"/>
      <c r="L147" s="278"/>
      <c r="M147" s="278"/>
    </row>
    <row r="148" spans="1:13" ht="15" customHeight="1">
      <c r="A148" s="343" t="s">
        <v>263</v>
      </c>
      <c r="B148" s="344" t="s">
        <v>156</v>
      </c>
      <c r="C148" s="53">
        <v>6008</v>
      </c>
      <c r="D148" s="137">
        <v>7.56</v>
      </c>
      <c r="E148" s="298">
        <v>0</v>
      </c>
      <c r="F148" s="30" t="str">
        <f>IFERROR(VLOOKUP($C148,[14]Nod!$A$3:$E$979,4,FALSE)," ")</f>
        <v>LSA230</v>
      </c>
      <c r="G148" s="30">
        <f>IFERROR(VLOOKUP($C148,[14]Nod!$A$3:$E$979,5,FALSE)," ")</f>
        <v>5</v>
      </c>
      <c r="K148" s="292"/>
      <c r="L148" s="278"/>
      <c r="M148" s="278"/>
    </row>
    <row r="149" spans="1:13" ht="15" customHeight="1">
      <c r="A149" s="343" t="s">
        <v>264</v>
      </c>
      <c r="B149" s="344" t="s">
        <v>156</v>
      </c>
      <c r="C149" s="53">
        <v>6008</v>
      </c>
      <c r="D149" s="137">
        <v>9.99</v>
      </c>
      <c r="E149" s="298">
        <v>0</v>
      </c>
      <c r="F149" s="30" t="str">
        <f>IFERROR(VLOOKUP($C149,[14]Nod!$A$3:$E$979,4,FALSE)," ")</f>
        <v>LSA230</v>
      </c>
      <c r="G149" s="30">
        <f>IFERROR(VLOOKUP($C149,[14]Nod!$A$3:$E$979,5,FALSE)," ")</f>
        <v>5</v>
      </c>
      <c r="K149" s="292"/>
      <c r="L149" s="278"/>
      <c r="M149" s="278"/>
    </row>
    <row r="150" spans="1:13" ht="15" customHeight="1">
      <c r="A150" s="346" t="s">
        <v>265</v>
      </c>
      <c r="B150" s="344" t="s">
        <v>156</v>
      </c>
      <c r="C150" s="53">
        <v>6008</v>
      </c>
      <c r="D150" s="333">
        <v>9.9</v>
      </c>
      <c r="E150" s="298">
        <v>11</v>
      </c>
      <c r="F150" s="30" t="str">
        <f>IFERROR(VLOOKUP($C150,[14]Nod!$A$3:$E$979,4,FALSE)," ")</f>
        <v>LSA230</v>
      </c>
      <c r="G150" s="30">
        <f>IFERROR(VLOOKUP($C150,[14]Nod!$A$3:$E$979,5,FALSE)," ")</f>
        <v>5</v>
      </c>
      <c r="K150" s="292"/>
      <c r="L150" s="278"/>
      <c r="M150" s="278"/>
    </row>
    <row r="151" spans="1:13" ht="15" customHeight="1">
      <c r="A151" s="343" t="s">
        <v>266</v>
      </c>
      <c r="B151" s="344" t="s">
        <v>156</v>
      </c>
      <c r="C151" s="53">
        <v>6008</v>
      </c>
      <c r="D151" s="137">
        <v>12.5</v>
      </c>
      <c r="E151" s="298">
        <v>0</v>
      </c>
      <c r="F151" s="30" t="str">
        <f>IFERROR(VLOOKUP($C151,[14]Nod!$A$3:$E$979,4,FALSE)," ")</f>
        <v>LSA230</v>
      </c>
      <c r="G151" s="30">
        <f>IFERROR(VLOOKUP($C151,[14]Nod!$A$3:$E$979,5,FALSE)," ")</f>
        <v>5</v>
      </c>
      <c r="K151" s="292"/>
      <c r="L151" s="278"/>
      <c r="M151" s="278"/>
    </row>
    <row r="152" spans="1:13" ht="15" customHeight="1">
      <c r="A152" s="346" t="s">
        <v>267</v>
      </c>
      <c r="B152" s="344" t="s">
        <v>156</v>
      </c>
      <c r="C152" s="53">
        <v>6008</v>
      </c>
      <c r="D152" s="333">
        <v>7.5</v>
      </c>
      <c r="E152" s="298">
        <v>0</v>
      </c>
      <c r="F152" s="30" t="str">
        <f>IFERROR(VLOOKUP($C152,[14]Nod!$A$3:$E$979,4,FALSE)," ")</f>
        <v>LSA230</v>
      </c>
      <c r="G152" s="30">
        <f>IFERROR(VLOOKUP($C152,[14]Nod!$A$3:$E$979,5,FALSE)," ")</f>
        <v>5</v>
      </c>
      <c r="L152" s="278"/>
      <c r="M152" s="278"/>
    </row>
    <row r="153" spans="1:13" ht="15" customHeight="1">
      <c r="A153" s="346" t="s">
        <v>268</v>
      </c>
      <c r="B153" s="344" t="s">
        <v>156</v>
      </c>
      <c r="C153" s="53">
        <v>6008</v>
      </c>
      <c r="D153" s="333">
        <v>9.99</v>
      </c>
      <c r="E153" s="298">
        <v>0</v>
      </c>
      <c r="F153" s="30" t="str">
        <f>IFERROR(VLOOKUP($C153,[14]Nod!$A$3:$E$979,4,FALSE)," ")</f>
        <v>LSA230</v>
      </c>
      <c r="G153" s="30">
        <f>IFERROR(VLOOKUP($C153,[14]Nod!$A$3:$E$979,5,FALSE)," ")</f>
        <v>5</v>
      </c>
      <c r="L153" s="278"/>
      <c r="M153" s="278"/>
    </row>
    <row r="154" spans="1:13" ht="15" customHeight="1">
      <c r="A154" s="346" t="s">
        <v>269</v>
      </c>
      <c r="B154" s="344" t="s">
        <v>156</v>
      </c>
      <c r="C154" s="53">
        <v>6008</v>
      </c>
      <c r="D154" s="37">
        <v>9.9</v>
      </c>
      <c r="E154" s="298">
        <v>0</v>
      </c>
      <c r="F154" s="30" t="str">
        <f>IFERROR(VLOOKUP($C154,[14]Nod!$A$3:$E$979,4,FALSE)," ")</f>
        <v>LSA230</v>
      </c>
      <c r="G154" s="30">
        <f>IFERROR(VLOOKUP($C154,[14]Nod!$A$3:$E$979,5,FALSE)," ")</f>
        <v>5</v>
      </c>
      <c r="L154" s="278"/>
      <c r="M154" s="278"/>
    </row>
    <row r="155" spans="1:13" ht="15" customHeight="1">
      <c r="A155" s="346" t="s">
        <v>270</v>
      </c>
      <c r="B155" s="344" t="s">
        <v>156</v>
      </c>
      <c r="C155" s="53">
        <v>6008</v>
      </c>
      <c r="D155" s="508"/>
      <c r="E155" s="298">
        <v>0</v>
      </c>
      <c r="F155" s="30" t="str">
        <f>IFERROR(VLOOKUP($C155,[14]Nod!$A$3:$E$979,4,FALSE)," ")</f>
        <v>LSA230</v>
      </c>
      <c r="G155" s="30">
        <f>IFERROR(VLOOKUP($C155,[14]Nod!$A$3:$E$979,5,FALSE)," ")</f>
        <v>5</v>
      </c>
      <c r="L155" s="278"/>
      <c r="M155" s="278"/>
    </row>
    <row r="156" spans="1:13" ht="15" customHeight="1">
      <c r="A156" s="346" t="s">
        <v>271</v>
      </c>
      <c r="B156" s="344" t="s">
        <v>156</v>
      </c>
      <c r="C156" s="53">
        <v>6008</v>
      </c>
      <c r="D156" s="37">
        <v>12</v>
      </c>
      <c r="E156" s="298">
        <v>0</v>
      </c>
      <c r="F156" s="30" t="str">
        <f>IFERROR(VLOOKUP($C156,[14]Nod!$A$3:$E$979,4,FALSE)," ")</f>
        <v>LSA230</v>
      </c>
      <c r="G156" s="30">
        <f>IFERROR(VLOOKUP($C156,[14]Nod!$A$3:$E$979,5,FALSE)," ")</f>
        <v>5</v>
      </c>
      <c r="L156" s="278"/>
      <c r="M156" s="278"/>
    </row>
    <row r="157" spans="1:13" ht="15" customHeight="1">
      <c r="A157" s="347" t="s">
        <v>335</v>
      </c>
      <c r="B157" s="344" t="s">
        <v>156</v>
      </c>
      <c r="C157" s="53">
        <v>6008</v>
      </c>
      <c r="D157" s="509">
        <v>0.58666989999999997</v>
      </c>
      <c r="E157" s="298">
        <v>0</v>
      </c>
      <c r="F157" s="30" t="str">
        <f>IFERROR(VLOOKUP($C157,[14]Nod!$A$3:$E$979,4,FALSE)," ")</f>
        <v>LSA230</v>
      </c>
      <c r="G157" s="30">
        <f>IFERROR(VLOOKUP($C157,[14]Nod!$A$3:$E$979,5,FALSE)," ")</f>
        <v>5</v>
      </c>
      <c r="L157" s="278"/>
      <c r="M157" s="278"/>
    </row>
    <row r="158" spans="1:13" ht="15" customHeight="1">
      <c r="A158" s="347" t="s">
        <v>272</v>
      </c>
      <c r="B158" s="344" t="s">
        <v>156</v>
      </c>
      <c r="C158" s="53">
        <v>6008</v>
      </c>
      <c r="D158" s="37">
        <v>8.5</v>
      </c>
      <c r="E158" s="298">
        <v>0</v>
      </c>
      <c r="F158" s="30" t="str">
        <f>IFERROR(VLOOKUP($C158,[14]Nod!$A$3:$E$979,4,FALSE)," ")</f>
        <v>LSA230</v>
      </c>
      <c r="G158" s="30">
        <f>IFERROR(VLOOKUP($C158,[14]Nod!$A$3:$E$979,5,FALSE)," ")</f>
        <v>5</v>
      </c>
      <c r="L158" s="278"/>
      <c r="M158" s="278"/>
    </row>
    <row r="159" spans="1:13" ht="15" customHeight="1">
      <c r="A159" s="347" t="s">
        <v>273</v>
      </c>
      <c r="B159" s="344" t="s">
        <v>156</v>
      </c>
      <c r="C159" s="53">
        <v>6008</v>
      </c>
      <c r="D159" s="37"/>
      <c r="E159" s="298"/>
      <c r="F159" s="30" t="str">
        <f>IFERROR(VLOOKUP($C159,[14]Nod!$A$3:$E$979,4,FALSE)," ")</f>
        <v>LSA230</v>
      </c>
      <c r="G159" s="30">
        <f>IFERROR(VLOOKUP($C159,[14]Nod!$A$3:$E$979,5,FALSE)," ")</f>
        <v>5</v>
      </c>
      <c r="L159" s="278"/>
      <c r="M159" s="278"/>
    </row>
    <row r="160" spans="1:13" ht="15" customHeight="1">
      <c r="A160" s="347" t="s">
        <v>274</v>
      </c>
      <c r="B160" s="344" t="s">
        <v>156</v>
      </c>
      <c r="C160" s="53">
        <v>6008</v>
      </c>
      <c r="D160" s="37"/>
      <c r="E160" s="298"/>
      <c r="F160" s="30" t="str">
        <f>IFERROR(VLOOKUP($C160,[14]Nod!$A$3:$E$979,4,FALSE)," ")</f>
        <v>LSA230</v>
      </c>
      <c r="G160" s="30">
        <f>IFERROR(VLOOKUP($C160,[14]Nod!$A$3:$E$979,5,FALSE)," ")</f>
        <v>5</v>
      </c>
      <c r="L160" s="278"/>
      <c r="M160" s="278"/>
    </row>
    <row r="161" spans="1:13" ht="15" customHeight="1">
      <c r="A161" s="347" t="s">
        <v>275</v>
      </c>
      <c r="B161" s="344" t="s">
        <v>156</v>
      </c>
      <c r="C161" s="53">
        <v>6008</v>
      </c>
      <c r="D161" s="37"/>
      <c r="E161" s="298"/>
      <c r="F161" s="30" t="str">
        <f>IFERROR(VLOOKUP($C161,[14]Nod!$A$3:$E$979,4,FALSE)," ")</f>
        <v>LSA230</v>
      </c>
      <c r="G161" s="30">
        <f>IFERROR(VLOOKUP($C161,[14]Nod!$A$3:$E$979,5,FALSE)," ")</f>
        <v>5</v>
      </c>
      <c r="L161" s="278"/>
      <c r="M161" s="278"/>
    </row>
    <row r="162" spans="1:13" ht="15" customHeight="1">
      <c r="A162" s="347" t="s">
        <v>276</v>
      </c>
      <c r="B162" s="344" t="s">
        <v>156</v>
      </c>
      <c r="C162" s="53">
        <v>6008</v>
      </c>
      <c r="D162" s="37"/>
      <c r="E162" s="298"/>
      <c r="F162" s="30" t="str">
        <f>IFERROR(VLOOKUP($C162,[14]Nod!$A$3:$E$979,4,FALSE)," ")</f>
        <v>LSA230</v>
      </c>
      <c r="G162" s="30">
        <f>IFERROR(VLOOKUP($C162,[14]Nod!$A$3:$E$979,5,FALSE)," ")</f>
        <v>5</v>
      </c>
      <c r="L162" s="278"/>
      <c r="M162" s="278"/>
    </row>
    <row r="163" spans="1:13" ht="15" customHeight="1">
      <c r="A163" s="347" t="s">
        <v>277</v>
      </c>
      <c r="B163" s="344" t="s">
        <v>156</v>
      </c>
      <c r="C163" s="53">
        <v>6008</v>
      </c>
      <c r="D163" s="37"/>
      <c r="E163" s="37"/>
      <c r="F163" s="30" t="str">
        <f>IFERROR(VLOOKUP($C163,[14]Nod!$A$3:$E$979,4,FALSE)," ")</f>
        <v>LSA230</v>
      </c>
      <c r="G163" s="30">
        <f>IFERROR(VLOOKUP($C163,[14]Nod!$A$3:$E$979,5,FALSE)," ")</f>
        <v>5</v>
      </c>
      <c r="L163" s="278"/>
      <c r="M163" s="278"/>
    </row>
    <row r="164" spans="1:13" ht="15" customHeight="1">
      <c r="A164" s="347" t="s">
        <v>278</v>
      </c>
      <c r="B164" s="354" t="s">
        <v>212</v>
      </c>
      <c r="C164" s="53">
        <v>6008</v>
      </c>
      <c r="D164" s="37">
        <v>100</v>
      </c>
      <c r="E164" s="37">
        <v>5</v>
      </c>
      <c r="F164" s="30" t="str">
        <f>IFERROR(VLOOKUP($C164,[14]Nod!$A$3:$E$979,4,FALSE)," ")</f>
        <v>LSA230</v>
      </c>
      <c r="G164" s="30">
        <f>IFERROR(VLOOKUP($C164,[14]Nod!$A$3:$E$979,5,FALSE)," ")</f>
        <v>5</v>
      </c>
      <c r="L164" s="278"/>
      <c r="M164" s="278"/>
    </row>
    <row r="165" spans="1:13" ht="15" customHeight="1">
      <c r="A165" s="39" t="s">
        <v>31</v>
      </c>
      <c r="B165" s="56"/>
      <c r="C165" s="37"/>
      <c r="D165" s="314"/>
      <c r="E165" s="38"/>
      <c r="F165" s="30" t="str">
        <f>IFERROR(VLOOKUP($C165,[14]Nod!$A$3:$E$979,4,FALSE)," ")</f>
        <v xml:space="preserve"> </v>
      </c>
      <c r="G165" s="30" t="str">
        <f>IFERROR(VLOOKUP($C165,[14]Nod!$A$3:$E$979,5,FALSE)," ")</f>
        <v xml:space="preserve"> </v>
      </c>
      <c r="L165" s="278"/>
      <c r="M165" s="278"/>
    </row>
    <row r="166" spans="1:13" ht="15" customHeight="1">
      <c r="A166" s="45">
        <v>6</v>
      </c>
      <c r="B166" s="42"/>
      <c r="C166" s="43"/>
      <c r="D166" s="44">
        <f>SUM(D167:D187)</f>
        <v>281.45999999999998</v>
      </c>
      <c r="E166" s="294"/>
      <c r="F166" s="30" t="str">
        <f>IFERROR(VLOOKUP($C166,[14]Nod!$A$3:$E$979,4,FALSE)," ")</f>
        <v xml:space="preserve"> </v>
      </c>
      <c r="G166" s="30" t="str">
        <f>IFERROR(VLOOKUP($C166,[14]Nod!$A$3:$E$979,5,FALSE)," ")</f>
        <v xml:space="preserve"> </v>
      </c>
      <c r="L166" s="278"/>
      <c r="M166" s="278"/>
    </row>
    <row r="167" spans="1:13" ht="15" customHeight="1">
      <c r="A167" s="343" t="s">
        <v>279</v>
      </c>
      <c r="B167" s="344" t="s">
        <v>212</v>
      </c>
      <c r="C167" s="38">
        <v>6005</v>
      </c>
      <c r="D167" s="334">
        <v>147</v>
      </c>
      <c r="E167" s="298">
        <v>0</v>
      </c>
      <c r="F167" s="30" t="str">
        <f>IFERROR(VLOOKUP($C167,[14]Nod!$A$3:$E$979,4,FALSE)," ")</f>
        <v>CHO230</v>
      </c>
      <c r="G167" s="30">
        <f>IFERROR(VLOOKUP($C167,[14]Nod!$A$3:$E$979,5,FALSE)," ")</f>
        <v>6</v>
      </c>
      <c r="L167" s="278"/>
      <c r="M167" s="278"/>
    </row>
    <row r="168" spans="1:13" ht="15" customHeight="1">
      <c r="A168" s="343" t="s">
        <v>280</v>
      </c>
      <c r="B168" s="344" t="s">
        <v>150</v>
      </c>
      <c r="C168" s="51">
        <v>6240</v>
      </c>
      <c r="D168" s="504"/>
      <c r="E168" s="298">
        <v>0</v>
      </c>
      <c r="F168" s="30" t="str">
        <f>IFERROR(VLOOKUP($C168,[14]Nod!$A$3:$E$979,4,FALSE)," ")</f>
        <v>EHIG230</v>
      </c>
      <c r="G168" s="30">
        <f>IFERROR(VLOOKUP($C168,[14]Nod!$A$3:$E$979,5,FALSE)," ")</f>
        <v>6</v>
      </c>
      <c r="L168" s="278"/>
      <c r="M168" s="278"/>
    </row>
    <row r="169" spans="1:13" ht="15" customHeight="1">
      <c r="A169" s="343" t="s">
        <v>281</v>
      </c>
      <c r="B169" s="344" t="s">
        <v>156</v>
      </c>
      <c r="C169" s="51">
        <v>6005</v>
      </c>
      <c r="D169" s="504"/>
      <c r="E169" s="298">
        <v>0</v>
      </c>
      <c r="F169" s="30" t="str">
        <f>IFERROR(VLOOKUP($C169,[14]Nod!$A$3:$E$979,4,FALSE)," ")</f>
        <v>CHO230</v>
      </c>
      <c r="G169" s="30">
        <f>IFERROR(VLOOKUP($C169,[14]Nod!$A$3:$E$979,5,FALSE)," ")</f>
        <v>6</v>
      </c>
      <c r="L169" s="278"/>
      <c r="M169" s="278"/>
    </row>
    <row r="170" spans="1:13" ht="15" customHeight="1">
      <c r="A170" s="343" t="s">
        <v>282</v>
      </c>
      <c r="B170" s="344" t="s">
        <v>156</v>
      </c>
      <c r="C170" s="51">
        <v>6005</v>
      </c>
      <c r="D170" s="504"/>
      <c r="E170" s="298">
        <v>0</v>
      </c>
      <c r="F170" s="30" t="str">
        <f>IFERROR(VLOOKUP($C170,[14]Nod!$A$3:$E$979,4,FALSE)," ")</f>
        <v>CHO230</v>
      </c>
      <c r="G170" s="30">
        <f>IFERROR(VLOOKUP($C170,[14]Nod!$A$3:$E$979,5,FALSE)," ")</f>
        <v>6</v>
      </c>
      <c r="L170" s="278"/>
      <c r="M170" s="278"/>
    </row>
    <row r="171" spans="1:13" ht="15" customHeight="1">
      <c r="A171" s="343" t="s">
        <v>283</v>
      </c>
      <c r="B171" s="344" t="s">
        <v>156</v>
      </c>
      <c r="C171" s="51">
        <v>6005</v>
      </c>
      <c r="D171" s="504"/>
      <c r="E171" s="298">
        <v>0</v>
      </c>
      <c r="F171" s="30" t="str">
        <f>IFERROR(VLOOKUP($C171,[14]Nod!$A$3:$E$979,4,FALSE)," ")</f>
        <v>CHO230</v>
      </c>
      <c r="G171" s="30">
        <f>IFERROR(VLOOKUP($C171,[14]Nod!$A$3:$E$979,5,FALSE)," ")</f>
        <v>6</v>
      </c>
      <c r="L171" s="278"/>
      <c r="M171" s="278"/>
    </row>
    <row r="172" spans="1:13" ht="15" customHeight="1">
      <c r="A172" s="343" t="s">
        <v>284</v>
      </c>
      <c r="B172" s="344" t="s">
        <v>156</v>
      </c>
      <c r="C172" s="51">
        <v>6005</v>
      </c>
      <c r="D172" s="510"/>
      <c r="E172" s="298">
        <v>0</v>
      </c>
      <c r="F172" s="30" t="str">
        <f>IFERROR(VLOOKUP($C172,[14]Nod!$A$3:$E$979,4,FALSE)," ")</f>
        <v>CHO230</v>
      </c>
      <c r="G172" s="30">
        <f>IFERROR(VLOOKUP($C172,[14]Nod!$A$3:$E$979,5,FALSE)," ")</f>
        <v>6</v>
      </c>
      <c r="L172" s="278"/>
      <c r="M172" s="278"/>
    </row>
    <row r="173" spans="1:13" ht="15" customHeight="1">
      <c r="A173" s="343" t="s">
        <v>285</v>
      </c>
      <c r="B173" s="344" t="s">
        <v>156</v>
      </c>
      <c r="C173" s="51">
        <v>6005</v>
      </c>
      <c r="D173" s="335">
        <v>19.8</v>
      </c>
      <c r="E173" s="298">
        <v>0</v>
      </c>
      <c r="F173" s="30" t="str">
        <f>IFERROR(VLOOKUP($C173,[14]Nod!$A$3:$E$979,4,FALSE)," ")</f>
        <v>CHO230</v>
      </c>
      <c r="G173" s="30">
        <f>IFERROR(VLOOKUP($C173,[14]Nod!$A$3:$E$979,5,FALSE)," ")</f>
        <v>6</v>
      </c>
      <c r="L173" s="278"/>
      <c r="M173" s="278"/>
    </row>
    <row r="174" spans="1:13" ht="15" customHeight="1">
      <c r="A174" s="343" t="s">
        <v>286</v>
      </c>
      <c r="B174" s="344" t="s">
        <v>156</v>
      </c>
      <c r="C174" s="51">
        <v>6005</v>
      </c>
      <c r="D174" s="504"/>
      <c r="E174" s="298">
        <v>0</v>
      </c>
      <c r="F174" s="30" t="str">
        <f>IFERROR(VLOOKUP($C174,[14]Nod!$A$3:$E$979,4,FALSE)," ")</f>
        <v>CHO230</v>
      </c>
      <c r="G174" s="30">
        <f>IFERROR(VLOOKUP($C174,[14]Nod!$A$3:$E$979,5,FALSE)," ")</f>
        <v>6</v>
      </c>
      <c r="L174" s="278"/>
      <c r="M174" s="278"/>
    </row>
    <row r="175" spans="1:13" ht="15" customHeight="1">
      <c r="A175" s="346" t="s">
        <v>287</v>
      </c>
      <c r="B175" s="344" t="s">
        <v>156</v>
      </c>
      <c r="C175" s="51">
        <v>6005</v>
      </c>
      <c r="D175" s="511"/>
      <c r="E175" s="298">
        <v>0</v>
      </c>
      <c r="F175" s="30" t="str">
        <f>IFERROR(VLOOKUP($C175,[14]Nod!$A$3:$E$979,4,FALSE)," ")</f>
        <v>CHO230</v>
      </c>
      <c r="G175" s="30">
        <f>IFERROR(VLOOKUP($C175,[14]Nod!$A$3:$E$979,5,FALSE)," ")</f>
        <v>6</v>
      </c>
      <c r="L175" s="278"/>
      <c r="M175" s="278"/>
    </row>
    <row r="176" spans="1:13" ht="15" customHeight="1">
      <c r="A176" s="346" t="s">
        <v>288</v>
      </c>
      <c r="B176" s="344" t="s">
        <v>156</v>
      </c>
      <c r="C176" s="51">
        <v>6005</v>
      </c>
      <c r="D176" s="333">
        <v>9.9</v>
      </c>
      <c r="E176" s="298">
        <v>11</v>
      </c>
      <c r="F176" s="30" t="str">
        <f>IFERROR(VLOOKUP($C176,[14]Nod!$A$3:$E$979,4,FALSE)," ")</f>
        <v>CHO230</v>
      </c>
      <c r="G176" s="30">
        <f>IFERROR(VLOOKUP($C176,[14]Nod!$A$3:$E$979,5,FALSE)," ")</f>
        <v>6</v>
      </c>
      <c r="L176" s="278"/>
      <c r="M176" s="278"/>
    </row>
    <row r="177" spans="1:13" ht="15" customHeight="1">
      <c r="A177" s="346" t="s">
        <v>289</v>
      </c>
      <c r="B177" s="344" t="s">
        <v>156</v>
      </c>
      <c r="C177" s="51">
        <v>6005</v>
      </c>
      <c r="D177" s="511"/>
      <c r="E177" s="298">
        <v>7</v>
      </c>
      <c r="F177" s="30" t="str">
        <f>IFERROR(VLOOKUP($C177,[14]Nod!$A$3:$E$979,4,FALSE)," ")</f>
        <v>CHO230</v>
      </c>
      <c r="G177" s="30">
        <f>IFERROR(VLOOKUP($C177,[14]Nod!$A$3:$E$979,5,FALSE)," ")</f>
        <v>6</v>
      </c>
      <c r="L177" s="278"/>
      <c r="M177" s="278"/>
    </row>
    <row r="178" spans="1:13" ht="15" customHeight="1">
      <c r="A178" s="346" t="s">
        <v>290</v>
      </c>
      <c r="B178" s="344" t="s">
        <v>156</v>
      </c>
      <c r="C178" s="51">
        <v>6005</v>
      </c>
      <c r="D178" s="333">
        <v>9.9</v>
      </c>
      <c r="E178" s="298">
        <v>5</v>
      </c>
      <c r="F178" s="30" t="str">
        <f>IFERROR(VLOOKUP($C178,[14]Nod!$A$3:$E$979,4,FALSE)," ")</f>
        <v>CHO230</v>
      </c>
      <c r="G178" s="30">
        <f>IFERROR(VLOOKUP($C178,[14]Nod!$A$3:$E$979,5,FALSE)," ")</f>
        <v>6</v>
      </c>
      <c r="L178" s="278"/>
      <c r="M178" s="278"/>
    </row>
    <row r="179" spans="1:13" ht="15" customHeight="1">
      <c r="A179" s="343" t="s">
        <v>291</v>
      </c>
      <c r="B179" s="344" t="s">
        <v>250</v>
      </c>
      <c r="C179" s="37">
        <v>6830</v>
      </c>
      <c r="D179" s="137">
        <v>66</v>
      </c>
      <c r="E179" s="298">
        <v>0</v>
      </c>
      <c r="F179" s="30" t="str">
        <f>IFERROR(VLOOKUP($C179,[14]Nod!$A$3:$E$979,4,FALSE)," ")</f>
        <v>ANT230</v>
      </c>
      <c r="G179" s="30">
        <f>IFERROR(VLOOKUP($C179,[14]Nod!$A$3:$E$979,5,FALSE)," ")</f>
        <v>6</v>
      </c>
      <c r="L179" s="278"/>
      <c r="M179" s="278"/>
    </row>
    <row r="180" spans="1:13" ht="15" customHeight="1">
      <c r="A180" s="343" t="s">
        <v>336</v>
      </c>
      <c r="B180" s="344" t="s">
        <v>250</v>
      </c>
      <c r="C180" s="53">
        <v>6830</v>
      </c>
      <c r="D180" s="137"/>
      <c r="E180" s="298"/>
      <c r="F180" s="30" t="str">
        <f>IFERROR(VLOOKUP($C180,[14]Nod!$A$3:$E$979,4,FALSE)," ")</f>
        <v>ANT230</v>
      </c>
      <c r="G180" s="30">
        <f>IFERROR(VLOOKUP($C180,[14]Nod!$A$3:$E$979,5,FALSE)," ")</f>
        <v>6</v>
      </c>
      <c r="L180" s="278"/>
      <c r="M180" s="278"/>
    </row>
    <row r="181" spans="1:13" ht="15" customHeight="1">
      <c r="A181" s="343" t="s">
        <v>337</v>
      </c>
      <c r="B181" s="344" t="s">
        <v>250</v>
      </c>
      <c r="C181" s="53">
        <v>6830</v>
      </c>
      <c r="D181" s="137"/>
      <c r="E181" s="298"/>
      <c r="F181" s="30" t="str">
        <f>IFERROR(VLOOKUP($C181,[14]Nod!$A$3:$E$979,4,FALSE)," ")</f>
        <v>ANT230</v>
      </c>
      <c r="G181" s="30">
        <f>IFERROR(VLOOKUP($C181,[14]Nod!$A$3:$E$979,5,FALSE)," ")</f>
        <v>6</v>
      </c>
      <c r="L181" s="278"/>
      <c r="M181" s="278"/>
    </row>
    <row r="182" spans="1:13" ht="15" customHeight="1">
      <c r="A182" s="346" t="s">
        <v>292</v>
      </c>
      <c r="B182" s="344" t="s">
        <v>156</v>
      </c>
      <c r="C182" s="53">
        <v>6240</v>
      </c>
      <c r="D182" s="137">
        <v>9</v>
      </c>
      <c r="E182" s="298">
        <v>0</v>
      </c>
      <c r="F182" s="30" t="str">
        <f>IFERROR(VLOOKUP($C182,[14]Nod!$A$3:$E$979,4,FALSE)," ")</f>
        <v>EHIG230</v>
      </c>
      <c r="G182" s="30">
        <f>IFERROR(VLOOKUP($C182,[14]Nod!$A$3:$E$979,5,FALSE)," ")</f>
        <v>6</v>
      </c>
      <c r="L182" s="278"/>
      <c r="M182" s="278"/>
    </row>
    <row r="183" spans="1:13" ht="15" customHeight="1">
      <c r="A183" s="343" t="s">
        <v>338</v>
      </c>
      <c r="B183" s="344" t="s">
        <v>156</v>
      </c>
      <c r="C183" s="37">
        <v>6240</v>
      </c>
      <c r="D183" s="504"/>
      <c r="E183" s="298">
        <v>0</v>
      </c>
      <c r="F183" s="30" t="str">
        <f>IFERROR(VLOOKUP($C183,[14]Nod!$A$3:$E$979,4,FALSE)," ")</f>
        <v>EHIG230</v>
      </c>
      <c r="G183" s="30">
        <f>IFERROR(VLOOKUP($C183,[14]Nod!$A$3:$E$979,5,FALSE)," ")</f>
        <v>6</v>
      </c>
      <c r="L183" s="278"/>
      <c r="M183" s="278"/>
    </row>
    <row r="184" spans="1:13" ht="15" customHeight="1">
      <c r="A184" s="343" t="s">
        <v>293</v>
      </c>
      <c r="B184" s="344" t="s">
        <v>156</v>
      </c>
      <c r="C184" s="53">
        <v>6240</v>
      </c>
      <c r="D184" s="137">
        <v>9.9600000000000009</v>
      </c>
      <c r="E184" s="298">
        <v>0</v>
      </c>
      <c r="F184" s="30" t="str">
        <f>IFERROR(VLOOKUP($C184,[14]Nod!$A$3:$E$979,4,FALSE)," ")</f>
        <v>EHIG230</v>
      </c>
      <c r="G184" s="30">
        <f>IFERROR(VLOOKUP($C184,[14]Nod!$A$3:$E$979,5,FALSE)," ")</f>
        <v>6</v>
      </c>
      <c r="L184" s="278"/>
      <c r="M184" s="278"/>
    </row>
    <row r="185" spans="1:13" ht="15" customHeight="1">
      <c r="A185" s="343" t="s">
        <v>339</v>
      </c>
      <c r="B185" s="344" t="s">
        <v>156</v>
      </c>
      <c r="C185" s="37">
        <v>6240</v>
      </c>
      <c r="D185" s="137">
        <v>9.9</v>
      </c>
      <c r="E185" s="298">
        <v>0</v>
      </c>
      <c r="F185" s="30" t="str">
        <f>IFERROR(VLOOKUP($C185,[14]Nod!$A$3:$E$979,4,FALSE)," ")</f>
        <v>EHIG230</v>
      </c>
      <c r="G185" s="30">
        <f>IFERROR(VLOOKUP($C185,[14]Nod!$A$3:$E$979,5,FALSE)," ")</f>
        <v>6</v>
      </c>
      <c r="L185" s="278"/>
      <c r="M185" s="278"/>
    </row>
    <row r="186" spans="1:13" ht="15" customHeight="1">
      <c r="A186" s="347" t="s">
        <v>294</v>
      </c>
      <c r="B186" s="344" t="s">
        <v>250</v>
      </c>
      <c r="C186" s="53">
        <v>6830</v>
      </c>
      <c r="D186" s="37"/>
      <c r="E186" s="37"/>
      <c r="F186" s="30" t="str">
        <f>IFERROR(VLOOKUP($C186,[14]Nod!$A$3:$E$979,4,FALSE)," ")</f>
        <v>ANT230</v>
      </c>
      <c r="G186" s="30">
        <f>IFERROR(VLOOKUP($C186,[14]Nod!$A$3:$E$979,5,FALSE)," ")</f>
        <v>6</v>
      </c>
      <c r="L186" s="278"/>
      <c r="M186" s="278"/>
    </row>
    <row r="187" spans="1:13" ht="15" customHeight="1">
      <c r="A187" s="39" t="s">
        <v>31</v>
      </c>
      <c r="B187" s="3"/>
      <c r="C187" s="38"/>
      <c r="D187" s="38"/>
      <c r="E187" s="298"/>
      <c r="F187" s="30" t="str">
        <f>IFERROR(VLOOKUP($C187,[14]Nod!$A$3:$E$979,4,FALSE)," ")</f>
        <v xml:space="preserve"> </v>
      </c>
      <c r="G187" s="30" t="str">
        <f>IFERROR(VLOOKUP($C187,[14]Nod!$A$3:$E$979,5,FALSE)," ")</f>
        <v xml:space="preserve"> </v>
      </c>
      <c r="L187" s="278"/>
      <c r="M187" s="278"/>
    </row>
    <row r="188" spans="1:13" ht="15" customHeight="1">
      <c r="A188" s="45">
        <v>7</v>
      </c>
      <c r="B188" s="42"/>
      <c r="C188" s="43"/>
      <c r="D188" s="44">
        <f>SUM(D189:D192)</f>
        <v>153.142</v>
      </c>
      <c r="E188" s="294"/>
      <c r="F188" s="30" t="str">
        <f>IFERROR(VLOOKUP($C188,[14]Nod!$A$3:$E$979,4,FALSE)," ")</f>
        <v xml:space="preserve"> </v>
      </c>
      <c r="G188" s="30" t="str">
        <f>IFERROR(VLOOKUP($C188,[14]Nod!$A$3:$E$979,5,FALSE)," ")</f>
        <v xml:space="preserve"> </v>
      </c>
      <c r="L188" s="278"/>
      <c r="M188" s="278"/>
    </row>
    <row r="189" spans="1:13" ht="15" customHeight="1">
      <c r="A189" s="343" t="s">
        <v>295</v>
      </c>
      <c r="B189" s="344" t="s">
        <v>150</v>
      </c>
      <c r="C189" s="38">
        <v>6018</v>
      </c>
      <c r="D189" s="331">
        <v>99.611999999999995</v>
      </c>
      <c r="E189" s="298">
        <v>0</v>
      </c>
      <c r="F189" s="30" t="str">
        <f>IFERROR(VLOOKUP($C189,[14]Nod!$A$3:$E$979,4,FALSE)," ")</f>
        <v>CAC115</v>
      </c>
      <c r="G189" s="30">
        <f>IFERROR(VLOOKUP($C189,[14]Nod!$A$3:$E$979,5,FALSE)," ")</f>
        <v>7</v>
      </c>
      <c r="L189" s="278"/>
      <c r="M189" s="278"/>
    </row>
    <row r="190" spans="1:13" ht="15" customHeight="1">
      <c r="A190" s="343" t="s">
        <v>296</v>
      </c>
      <c r="B190" s="344" t="s">
        <v>212</v>
      </c>
      <c r="C190" s="38">
        <v>6171</v>
      </c>
      <c r="D190" s="320">
        <v>53.53</v>
      </c>
      <c r="E190" s="298">
        <v>0</v>
      </c>
      <c r="F190" s="30" t="str">
        <f>IFERROR(VLOOKUP($C190,[14]Nod!$A$3:$E$979,4,FALSE)," ")</f>
        <v>PAC230</v>
      </c>
      <c r="G190" s="30">
        <f>IFERROR(VLOOKUP($C190,[14]Nod!$A$3:$E$979,5,FALSE)," ")</f>
        <v>7</v>
      </c>
      <c r="L190" s="278"/>
      <c r="M190" s="278"/>
    </row>
    <row r="191" spans="1:13" ht="15" customHeight="1">
      <c r="A191" s="343" t="s">
        <v>340</v>
      </c>
      <c r="B191" s="344" t="s">
        <v>156</v>
      </c>
      <c r="C191" s="38">
        <v>6018</v>
      </c>
      <c r="D191" s="504"/>
      <c r="E191" s="298">
        <v>0</v>
      </c>
      <c r="F191" s="30" t="str">
        <f>IFERROR(VLOOKUP($C191,[14]Nod!$A$3:$E$979,4,FALSE)," ")</f>
        <v>CAC115</v>
      </c>
      <c r="G191" s="30">
        <f>IFERROR(VLOOKUP($C191,[14]Nod!$A$3:$E$979,5,FALSE)," ")</f>
        <v>7</v>
      </c>
      <c r="M191" s="278"/>
    </row>
    <row r="192" spans="1:13" ht="15" customHeight="1">
      <c r="A192" s="39" t="s">
        <v>31</v>
      </c>
      <c r="B192" s="3"/>
      <c r="C192" s="38"/>
      <c r="D192" s="38"/>
      <c r="E192" s="298"/>
      <c r="F192" s="30" t="str">
        <f>IFERROR(VLOOKUP($C192,[14]Nod!$A$3:$E$979,4,FALSE)," ")</f>
        <v xml:space="preserve"> </v>
      </c>
      <c r="M192" s="278"/>
    </row>
    <row r="193" spans="1:19" ht="15" customHeight="1">
      <c r="A193" s="35">
        <v>8</v>
      </c>
      <c r="B193" s="58"/>
      <c r="C193" s="34"/>
      <c r="D193" s="63">
        <f>SUM(D194:D195)</f>
        <v>260</v>
      </c>
      <c r="E193" s="312"/>
      <c r="F193" s="30" t="str">
        <f>IFERROR(VLOOKUP($C193,[14]Nod!$A$3:$E$979,4,FALSE)," ")</f>
        <v xml:space="preserve"> </v>
      </c>
      <c r="G193" s="30" t="str">
        <f>IFERROR(VLOOKUP($C193,[14]Nod!$A$3:$E$979,5,FALSE)," ")</f>
        <v xml:space="preserve"> </v>
      </c>
      <c r="M193" s="278"/>
    </row>
    <row r="194" spans="1:19" ht="15" customHeight="1">
      <c r="A194" s="355" t="s">
        <v>297</v>
      </c>
      <c r="B194" s="344" t="s">
        <v>150</v>
      </c>
      <c r="C194" s="38">
        <v>6100</v>
      </c>
      <c r="D194" s="46">
        <v>260</v>
      </c>
      <c r="E194" s="298">
        <v>0</v>
      </c>
      <c r="F194" s="30" t="str">
        <f>IFERROR(VLOOKUP($C194,[14]Nod!$A$3:$E$979,4,FALSE)," ")</f>
        <v>BAY230</v>
      </c>
      <c r="G194" s="30">
        <f>IFERROR(VLOOKUP($C194,[14]Nod!$A$3:$E$979,5,FALSE)," ")</f>
        <v>8</v>
      </c>
    </row>
    <row r="195" spans="1:19" ht="15" customHeight="1">
      <c r="A195" s="39" t="s">
        <v>31</v>
      </c>
      <c r="B195" s="40"/>
      <c r="C195" s="41"/>
      <c r="D195" s="49"/>
      <c r="E195" s="310"/>
      <c r="F195" s="30" t="str">
        <f>IFERROR(VLOOKUP($C195,[14]Nod!$A$3:$E$979,4,FALSE)," ")</f>
        <v xml:space="preserve"> </v>
      </c>
      <c r="G195" s="30" t="str">
        <f>IFERROR(VLOOKUP($C195,[14]Nod!$A$3:$E$979,5,FALSE)," ")</f>
        <v xml:space="preserve"> </v>
      </c>
    </row>
    <row r="196" spans="1:19" ht="15" customHeight="1">
      <c r="A196" s="45">
        <v>9</v>
      </c>
      <c r="B196" s="59"/>
      <c r="C196" s="60"/>
      <c r="D196" s="63">
        <f>SUM(D197:D203)</f>
        <v>1376.25</v>
      </c>
      <c r="E196" s="312"/>
      <c r="F196" s="30" t="str">
        <f>IFERROR(VLOOKUP($C196,[14]Nod!$A$3:$E$979,4,FALSE)," ")</f>
        <v xml:space="preserve"> </v>
      </c>
      <c r="G196" s="30" t="str">
        <f>IFERROR(VLOOKUP($C196,[14]Nod!$A$3:$E$979,5,FALSE)," ")</f>
        <v xml:space="preserve"> </v>
      </c>
    </row>
    <row r="197" spans="1:19" ht="15" customHeight="1">
      <c r="A197" s="343" t="s">
        <v>298</v>
      </c>
      <c r="B197" s="344" t="s">
        <v>212</v>
      </c>
      <c r="C197" s="38">
        <v>6059</v>
      </c>
      <c r="D197" s="320">
        <v>121</v>
      </c>
      <c r="E197" s="298">
        <v>0</v>
      </c>
      <c r="F197" s="30" t="str">
        <f>IFERROR(VLOOKUP($C197,[14]Nod!$A$3:$E$979,4,FALSE)," ")</f>
        <v>LM1115</v>
      </c>
      <c r="G197" s="30">
        <f>IFERROR(VLOOKUP($C197,[14]Nod!$A$3:$E$979,5,FALSE)," ")</f>
        <v>9</v>
      </c>
    </row>
    <row r="198" spans="1:19" ht="15" customHeight="1">
      <c r="A198" s="343" t="s">
        <v>299</v>
      </c>
      <c r="B198" s="344" t="s">
        <v>212</v>
      </c>
      <c r="C198" s="38">
        <v>6059</v>
      </c>
      <c r="D198" s="320">
        <v>150</v>
      </c>
      <c r="E198" s="298">
        <v>0</v>
      </c>
      <c r="F198" s="30" t="str">
        <f>IFERROR(VLOOKUP($C198,[14]Nod!$A$3:$E$979,4,FALSE)," ")</f>
        <v>LM1115</v>
      </c>
      <c r="G198" s="30">
        <f>IFERROR(VLOOKUP($C198,[14]Nod!$A$3:$E$979,5,FALSE)," ")</f>
        <v>9</v>
      </c>
    </row>
    <row r="199" spans="1:19" ht="15" customHeight="1">
      <c r="A199" s="343" t="s">
        <v>300</v>
      </c>
      <c r="B199" s="344" t="s">
        <v>212</v>
      </c>
      <c r="C199" s="38">
        <v>6059</v>
      </c>
      <c r="D199" s="320">
        <v>381</v>
      </c>
      <c r="E199" s="298">
        <v>0</v>
      </c>
      <c r="F199" s="30" t="str">
        <f>IFERROR(VLOOKUP($C199,[14]Nod!$A$3:$E$979,4,FALSE)," ")</f>
        <v>LM1115</v>
      </c>
      <c r="G199" s="30">
        <f>IFERROR(VLOOKUP($C199,[14]Nod!$A$3:$E$979,5,FALSE)," ")</f>
        <v>9</v>
      </c>
    </row>
    <row r="200" spans="1:19" ht="15" customHeight="1">
      <c r="A200" s="343" t="s">
        <v>301</v>
      </c>
      <c r="B200" s="344" t="s">
        <v>212</v>
      </c>
      <c r="C200" s="38">
        <v>6173</v>
      </c>
      <c r="D200" s="320">
        <v>5.05</v>
      </c>
      <c r="E200" s="298">
        <v>0</v>
      </c>
      <c r="F200" s="30" t="str">
        <f>IFERROR(VLOOKUP($C200,[14]Nod!$A$3:$E$979,4,FALSE)," ")</f>
        <v>STR115</v>
      </c>
      <c r="G200" s="30">
        <f>IFERROR(VLOOKUP($C200,[14]Nod!$A$3:$E$979,5,FALSE)," ")</f>
        <v>9</v>
      </c>
    </row>
    <row r="201" spans="1:19" ht="15" customHeight="1">
      <c r="A201" s="343" t="s">
        <v>302</v>
      </c>
      <c r="B201" s="344" t="s">
        <v>212</v>
      </c>
      <c r="C201" s="38">
        <v>6173</v>
      </c>
      <c r="D201" s="320">
        <v>49.2</v>
      </c>
      <c r="E201" s="298">
        <v>0</v>
      </c>
      <c r="F201" s="30" t="str">
        <f>IFERROR(VLOOKUP($C201,[14]Nod!$A$3:$E$979,4,FALSE)," ")</f>
        <v>STR115</v>
      </c>
      <c r="G201" s="30">
        <f>IFERROR(VLOOKUP($C201,[14]Nod!$A$3:$E$979,5,FALSE)," ")</f>
        <v>9</v>
      </c>
    </row>
    <row r="202" spans="1:19" ht="15" customHeight="1">
      <c r="A202" s="343" t="s">
        <v>303</v>
      </c>
      <c r="B202" s="344" t="s">
        <v>212</v>
      </c>
      <c r="C202" s="38">
        <v>6059</v>
      </c>
      <c r="D202" s="320">
        <v>670</v>
      </c>
      <c r="E202" s="298">
        <v>0</v>
      </c>
      <c r="F202" s="30" t="str">
        <f>IFERROR(VLOOKUP($C202,[14]Nod!$A$3:$E$979,4,FALSE)," ")</f>
        <v>LM1115</v>
      </c>
      <c r="G202" s="30">
        <f>IFERROR(VLOOKUP($C202,[14]Nod!$A$3:$E$979,5,FALSE)," ")</f>
        <v>9</v>
      </c>
    </row>
    <row r="203" spans="1:19" ht="15" customHeight="1">
      <c r="A203" s="39" t="s">
        <v>31</v>
      </c>
      <c r="B203" s="3"/>
      <c r="C203" s="38"/>
      <c r="D203" s="38"/>
      <c r="E203" s="298"/>
      <c r="F203" s="30" t="str">
        <f>IFERROR(VLOOKUP($C203,[14]Nod!$A$3:$E$979,4,FALSE)," ")</f>
        <v xml:space="preserve"> </v>
      </c>
      <c r="G203" s="30" t="str">
        <f>IFERROR(VLOOKUP($C203,[14]Nod!$A$3:$E$979,5,FALSE)," ")</f>
        <v xml:space="preserve"> </v>
      </c>
    </row>
    <row r="204" spans="1:19" ht="15" customHeight="1">
      <c r="A204" s="45">
        <v>10</v>
      </c>
      <c r="B204" s="59"/>
      <c r="C204" s="61"/>
      <c r="D204" s="44">
        <f>SUM(D205:D206)</f>
        <v>254.8</v>
      </c>
      <c r="E204" s="294"/>
      <c r="F204" s="30" t="str">
        <f>IFERROR(VLOOKUP($C204,[14]Nod!$A$3:$E$979,4,FALSE)," ")</f>
        <v xml:space="preserve"> </v>
      </c>
      <c r="G204" s="30" t="str">
        <f>IFERROR(VLOOKUP($C204,[14]Nod!$A$3:$E$979,5,FALSE)," ")</f>
        <v xml:space="preserve"> </v>
      </c>
    </row>
    <row r="205" spans="1:19" ht="15" customHeight="1">
      <c r="A205" s="356" t="s">
        <v>304</v>
      </c>
      <c r="B205" s="344" t="s">
        <v>150</v>
      </c>
      <c r="C205" s="38">
        <v>6263</v>
      </c>
      <c r="D205" s="38">
        <v>223</v>
      </c>
      <c r="E205" s="298">
        <v>0</v>
      </c>
      <c r="F205" s="30" t="str">
        <f>IFERROR(VLOOKUP($C205,[14]Nod!$A$3:$E$979,4,FALSE)," ")</f>
        <v>ESP230</v>
      </c>
      <c r="G205" s="30">
        <f>IFERROR(VLOOKUP($C205,[14]Nod!$A$3:$E$979,5,FALSE)," ")</f>
        <v>10</v>
      </c>
    </row>
    <row r="206" spans="1:19" ht="15" customHeight="1">
      <c r="A206" s="356" t="s">
        <v>305</v>
      </c>
      <c r="B206" s="344" t="s">
        <v>150</v>
      </c>
      <c r="C206" s="38">
        <v>6263</v>
      </c>
      <c r="D206" s="38">
        <v>31.8</v>
      </c>
      <c r="E206" s="298">
        <v>0</v>
      </c>
      <c r="F206" s="30" t="str">
        <f>IFERROR(VLOOKUP($C206,[14]Nod!$A$3:$E$979,4,FALSE)," ")</f>
        <v>ESP230</v>
      </c>
      <c r="G206" s="30">
        <f>IFERROR(VLOOKUP($C206,[14]Nod!$A$3:$E$979,5,FALSE)," ")</f>
        <v>10</v>
      </c>
    </row>
    <row r="207" spans="1:19" ht="15" customHeight="1">
      <c r="A207" s="57" t="s">
        <v>31</v>
      </c>
      <c r="B207" s="40"/>
      <c r="C207" s="41"/>
      <c r="D207" s="49"/>
      <c r="E207" s="310"/>
      <c r="F207" s="3"/>
      <c r="G207" s="3"/>
      <c r="S207" s="292"/>
    </row>
    <row r="209" spans="1:7" ht="15" customHeight="1">
      <c r="A209" s="530" t="s">
        <v>306</v>
      </c>
      <c r="B209" s="531"/>
      <c r="C209" s="531"/>
      <c r="D209" s="531"/>
      <c r="E209" s="531"/>
      <c r="F209" s="531"/>
      <c r="G209" s="531"/>
    </row>
    <row r="210" spans="1:7" ht="15" customHeight="1">
      <c r="A210" s="530" t="s">
        <v>307</v>
      </c>
      <c r="B210" s="531"/>
      <c r="C210" s="531"/>
      <c r="D210" s="531"/>
      <c r="E210" s="531"/>
      <c r="F210" s="531"/>
      <c r="G210" s="531"/>
    </row>
    <row r="211" spans="1:7" ht="15" customHeight="1">
      <c r="A211" s="530" t="s">
        <v>308</v>
      </c>
      <c r="B211" s="531"/>
      <c r="C211" s="531"/>
      <c r="D211" s="531"/>
      <c r="E211" s="531"/>
      <c r="F211" s="531"/>
      <c r="G211" s="531"/>
    </row>
    <row r="212" spans="1:7" ht="15" customHeight="1">
      <c r="A212" s="530" t="s">
        <v>309</v>
      </c>
      <c r="B212" s="531"/>
      <c r="C212" s="531"/>
      <c r="D212" s="531"/>
      <c r="E212" s="531"/>
      <c r="F212" s="531"/>
      <c r="G212" s="531"/>
    </row>
    <row r="213" spans="1:7" ht="15" customHeight="1">
      <c r="A213" s="530" t="s">
        <v>310</v>
      </c>
      <c r="B213" s="531"/>
      <c r="C213" s="531"/>
      <c r="D213" s="531"/>
      <c r="E213" s="531"/>
      <c r="F213" s="531"/>
      <c r="G213" s="531"/>
    </row>
    <row r="214" spans="1:7" ht="15" customHeight="1">
      <c r="F214" s="278"/>
      <c r="G214" s="278"/>
    </row>
    <row r="215" spans="1:7" ht="15" customHeight="1">
      <c r="F215" s="278"/>
      <c r="G215" s="278"/>
    </row>
    <row r="216" spans="1:7" ht="15" customHeight="1">
      <c r="F216" s="278"/>
      <c r="G216" s="278"/>
    </row>
    <row r="217" spans="1:7" ht="15" customHeight="1">
      <c r="F217" s="278"/>
      <c r="G217" s="278"/>
    </row>
    <row r="218" spans="1:7" ht="15" customHeight="1">
      <c r="F218" s="278"/>
      <c r="G218" s="278"/>
    </row>
    <row r="219" spans="1:7" ht="15" customHeight="1">
      <c r="F219" s="278"/>
      <c r="G219" s="278"/>
    </row>
    <row r="220" spans="1:7" ht="15" customHeight="1">
      <c r="F220" s="278"/>
      <c r="G220" s="278"/>
    </row>
    <row r="221" spans="1:7" ht="15" customHeight="1">
      <c r="F221" s="278"/>
      <c r="G221" s="278"/>
    </row>
    <row r="222" spans="1:7" ht="15" customHeight="1">
      <c r="F222" s="278"/>
      <c r="G222" s="278"/>
    </row>
    <row r="223" spans="1:7" ht="15" customHeight="1">
      <c r="F223" s="278"/>
      <c r="G223" s="278"/>
    </row>
    <row r="224" spans="1:7" ht="15" customHeight="1">
      <c r="F224" s="278"/>
      <c r="G224" s="278"/>
    </row>
    <row r="225" spans="6:7" ht="15" customHeight="1">
      <c r="F225" s="278"/>
      <c r="G225" s="278"/>
    </row>
    <row r="226" spans="6:7" ht="15" customHeight="1">
      <c r="F226" s="278"/>
      <c r="G226" s="278"/>
    </row>
    <row r="227" spans="6:7" ht="15" customHeight="1">
      <c r="F227" s="278"/>
      <c r="G227" s="278"/>
    </row>
    <row r="228" spans="6:7" ht="15" customHeight="1">
      <c r="F228" s="278"/>
      <c r="G228" s="278"/>
    </row>
    <row r="229" spans="6:7" ht="15" customHeight="1">
      <c r="F229" s="278"/>
      <c r="G229" s="278"/>
    </row>
    <row r="230" spans="6:7" ht="15" customHeight="1">
      <c r="F230" s="278"/>
      <c r="G230" s="278"/>
    </row>
    <row r="231" spans="6:7" ht="15" customHeight="1">
      <c r="F231" s="278"/>
      <c r="G231" s="278"/>
    </row>
    <row r="232" spans="6:7" ht="15" customHeight="1">
      <c r="F232" s="278"/>
      <c r="G232" s="278"/>
    </row>
    <row r="233" spans="6:7" ht="15" customHeight="1">
      <c r="F233" s="278"/>
      <c r="G233" s="278"/>
    </row>
    <row r="234" spans="6:7" ht="15" customHeight="1">
      <c r="F234" s="278"/>
      <c r="G234" s="278"/>
    </row>
    <row r="235" spans="6:7" ht="15" customHeight="1">
      <c r="F235" s="278"/>
      <c r="G235" s="278"/>
    </row>
    <row r="236" spans="6:7" ht="15" customHeight="1">
      <c r="F236" s="278"/>
      <c r="G236" s="278"/>
    </row>
  </sheetData>
  <mergeCells count="6">
    <mergeCell ref="A213:G213"/>
    <mergeCell ref="A9:L9"/>
    <mergeCell ref="A209:G209"/>
    <mergeCell ref="A210:G210"/>
    <mergeCell ref="A211:G211"/>
    <mergeCell ref="A212:G212"/>
  </mergeCells>
  <conditionalFormatting sqref="B11:L12">
    <cfRule type="cellIs" dxfId="91" priority="11" operator="equal">
      <formula>0</formula>
    </cfRule>
  </conditionalFormatting>
  <conditionalFormatting sqref="D88">
    <cfRule type="cellIs" dxfId="90" priority="1" operator="equal">
      <formula>0</formula>
    </cfRule>
  </conditionalFormatting>
  <conditionalFormatting sqref="D94">
    <cfRule type="cellIs" dxfId="89" priority="4" operator="equal">
      <formula>0</formula>
    </cfRule>
  </conditionalFormatting>
  <conditionalFormatting sqref="D157">
    <cfRule type="cellIs" dxfId="88" priority="2" operator="equal">
      <formula>0</formula>
    </cfRule>
  </conditionalFormatting>
  <conditionalFormatting sqref="D194:E195">
    <cfRule type="cellIs" dxfId="87" priority="6" operator="equal">
      <formula>0</formula>
    </cfRule>
  </conditionalFormatting>
  <conditionalFormatting sqref="E18:E35">
    <cfRule type="cellIs" dxfId="86" priority="5" operator="equal">
      <formula>0</formula>
    </cfRule>
  </conditionalFormatting>
  <conditionalFormatting sqref="E38:E56 E197:E202 D205:E207">
    <cfRule type="cellIs" dxfId="85" priority="8" operator="equal">
      <formula>0</formula>
    </cfRule>
  </conditionalFormatting>
  <conditionalFormatting sqref="E59:E115">
    <cfRule type="cellIs" dxfId="84" priority="7" operator="equal">
      <formula>0</formula>
    </cfRule>
  </conditionalFormatting>
  <conditionalFormatting sqref="E189:E192">
    <cfRule type="cellIs" dxfId="83" priority="3" operator="equal">
      <formula>0</formula>
    </cfRule>
  </conditionalFormatting>
  <conditionalFormatting sqref="K108:K151 E118:E148 D149:E149 D150 E150:E162 E167:E179 D180:E181 E182:E187">
    <cfRule type="cellIs" dxfId="82" priority="12" operator="equal">
      <formula>0</formula>
    </cfRule>
  </conditionalFormatting>
  <conditionalFormatting sqref="M11:M12">
    <cfRule type="cellIs" dxfId="81" priority="9" stopIfTrue="1" operator="notEqual">
      <formula>L11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5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82D1B-4473-4360-9029-7CFE2BD37EE0}">
  <sheetPr>
    <pageSetUpPr fitToPage="1"/>
  </sheetPr>
  <dimension ref="A1:P242"/>
  <sheetViews>
    <sheetView zoomScale="70" zoomScaleNormal="70" workbookViewId="0">
      <selection activeCell="O26" sqref="O26"/>
    </sheetView>
  </sheetViews>
  <sheetFormatPr baseColWidth="10" defaultColWidth="8.7109375" defaultRowHeight="15" customHeight="1"/>
  <cols>
    <col min="1" max="1" width="47.5703125" style="359" customWidth="1"/>
    <col min="2" max="2" width="14.5703125" style="359" customWidth="1"/>
    <col min="3" max="3" width="8.7109375" style="359"/>
    <col min="4" max="4" width="11.42578125" style="359" customWidth="1"/>
    <col min="5" max="5" width="9.42578125" style="359" customWidth="1"/>
    <col min="6" max="6" width="9.7109375" style="359" bestFit="1" customWidth="1"/>
    <col min="7" max="7" width="11.140625" style="359" customWidth="1"/>
    <col min="8" max="8" width="23.7109375" style="359" customWidth="1"/>
    <col min="9" max="9" width="9.5703125" style="359" customWidth="1"/>
    <col min="10" max="10" width="9.85546875" style="359" customWidth="1"/>
    <col min="11" max="11" width="15.7109375" style="359" customWidth="1"/>
    <col min="12" max="12" width="11.28515625" style="359" bestFit="1" customWidth="1"/>
    <col min="13" max="13" width="12.140625" style="359" customWidth="1"/>
    <col min="14" max="14" width="9.7109375" style="359" customWidth="1"/>
    <col min="15" max="15" width="31.85546875" style="359" customWidth="1"/>
    <col min="16" max="16" width="16.7109375" style="359" customWidth="1"/>
    <col min="17" max="17" width="9.7109375" style="359" customWidth="1"/>
    <col min="18" max="18" width="17" style="359" bestFit="1" customWidth="1"/>
    <col min="19" max="26" width="6.7109375" style="359" customWidth="1"/>
    <col min="27" max="256" width="8.7109375" style="359"/>
    <col min="257" max="257" width="47.5703125" style="359" customWidth="1"/>
    <col min="258" max="258" width="14.5703125" style="359" customWidth="1"/>
    <col min="259" max="259" width="8.7109375" style="359"/>
    <col min="260" max="260" width="11.42578125" style="359" customWidth="1"/>
    <col min="261" max="261" width="9.42578125" style="359" customWidth="1"/>
    <col min="262" max="262" width="9.7109375" style="359" bestFit="1" customWidth="1"/>
    <col min="263" max="263" width="12.5703125" style="359" customWidth="1"/>
    <col min="264" max="264" width="23.7109375" style="359" customWidth="1"/>
    <col min="265" max="265" width="9.5703125" style="359" customWidth="1"/>
    <col min="266" max="266" width="9.85546875" style="359" customWidth="1"/>
    <col min="267" max="267" width="15.7109375" style="359" customWidth="1"/>
    <col min="268" max="268" width="11.28515625" style="359" bestFit="1" customWidth="1"/>
    <col min="269" max="269" width="12.140625" style="359" customWidth="1"/>
    <col min="270" max="270" width="9.7109375" style="359" customWidth="1"/>
    <col min="271" max="271" width="31.85546875" style="359" customWidth="1"/>
    <col min="272" max="272" width="16.7109375" style="359" customWidth="1"/>
    <col min="273" max="273" width="9.7109375" style="359" customWidth="1"/>
    <col min="274" max="274" width="17" style="359" bestFit="1" customWidth="1"/>
    <col min="275" max="282" width="6.7109375" style="359" customWidth="1"/>
    <col min="283" max="512" width="8.7109375" style="359"/>
    <col min="513" max="513" width="47.5703125" style="359" customWidth="1"/>
    <col min="514" max="514" width="14.5703125" style="359" customWidth="1"/>
    <col min="515" max="515" width="8.7109375" style="359"/>
    <col min="516" max="516" width="11.42578125" style="359" customWidth="1"/>
    <col min="517" max="517" width="9.42578125" style="359" customWidth="1"/>
    <col min="518" max="518" width="9.7109375" style="359" bestFit="1" customWidth="1"/>
    <col min="519" max="519" width="12.5703125" style="359" customWidth="1"/>
    <col min="520" max="520" width="23.7109375" style="359" customWidth="1"/>
    <col min="521" max="521" width="9.5703125" style="359" customWidth="1"/>
    <col min="522" max="522" width="9.85546875" style="359" customWidth="1"/>
    <col min="523" max="523" width="15.7109375" style="359" customWidth="1"/>
    <col min="524" max="524" width="11.28515625" style="359" bestFit="1" customWidth="1"/>
    <col min="525" max="525" width="12.140625" style="359" customWidth="1"/>
    <col min="526" max="526" width="9.7109375" style="359" customWidth="1"/>
    <col min="527" max="527" width="31.85546875" style="359" customWidth="1"/>
    <col min="528" max="528" width="16.7109375" style="359" customWidth="1"/>
    <col min="529" max="529" width="9.7109375" style="359" customWidth="1"/>
    <col min="530" max="530" width="17" style="359" bestFit="1" customWidth="1"/>
    <col min="531" max="538" width="6.7109375" style="359" customWidth="1"/>
    <col min="539" max="768" width="8.7109375" style="359"/>
    <col min="769" max="769" width="47.5703125" style="359" customWidth="1"/>
    <col min="770" max="770" width="14.5703125" style="359" customWidth="1"/>
    <col min="771" max="771" width="8.7109375" style="359"/>
    <col min="772" max="772" width="11.42578125" style="359" customWidth="1"/>
    <col min="773" max="773" width="9.42578125" style="359" customWidth="1"/>
    <col min="774" max="774" width="9.7109375" style="359" bestFit="1" customWidth="1"/>
    <col min="775" max="775" width="12.5703125" style="359" customWidth="1"/>
    <col min="776" max="776" width="23.7109375" style="359" customWidth="1"/>
    <col min="777" max="777" width="9.5703125" style="359" customWidth="1"/>
    <col min="778" max="778" width="9.85546875" style="359" customWidth="1"/>
    <col min="779" max="779" width="15.7109375" style="359" customWidth="1"/>
    <col min="780" max="780" width="11.28515625" style="359" bestFit="1" customWidth="1"/>
    <col min="781" max="781" width="12.140625" style="359" customWidth="1"/>
    <col min="782" max="782" width="9.7109375" style="359" customWidth="1"/>
    <col min="783" max="783" width="31.85546875" style="359" customWidth="1"/>
    <col min="784" max="784" width="16.7109375" style="359" customWidth="1"/>
    <col min="785" max="785" width="9.7109375" style="359" customWidth="1"/>
    <col min="786" max="786" width="17" style="359" bestFit="1" customWidth="1"/>
    <col min="787" max="794" width="6.7109375" style="359" customWidth="1"/>
    <col min="795" max="1024" width="8.7109375" style="359"/>
    <col min="1025" max="1025" width="47.5703125" style="359" customWidth="1"/>
    <col min="1026" max="1026" width="14.5703125" style="359" customWidth="1"/>
    <col min="1027" max="1027" width="8.7109375" style="359"/>
    <col min="1028" max="1028" width="11.42578125" style="359" customWidth="1"/>
    <col min="1029" max="1029" width="9.42578125" style="359" customWidth="1"/>
    <col min="1030" max="1030" width="9.7109375" style="359" bestFit="1" customWidth="1"/>
    <col min="1031" max="1031" width="12.5703125" style="359" customWidth="1"/>
    <col min="1032" max="1032" width="23.7109375" style="359" customWidth="1"/>
    <col min="1033" max="1033" width="9.5703125" style="359" customWidth="1"/>
    <col min="1034" max="1034" width="9.85546875" style="359" customWidth="1"/>
    <col min="1035" max="1035" width="15.7109375" style="359" customWidth="1"/>
    <col min="1036" max="1036" width="11.28515625" style="359" bestFit="1" customWidth="1"/>
    <col min="1037" max="1037" width="12.140625" style="359" customWidth="1"/>
    <col min="1038" max="1038" width="9.7109375" style="359" customWidth="1"/>
    <col min="1039" max="1039" width="31.85546875" style="359" customWidth="1"/>
    <col min="1040" max="1040" width="16.7109375" style="359" customWidth="1"/>
    <col min="1041" max="1041" width="9.7109375" style="359" customWidth="1"/>
    <col min="1042" max="1042" width="17" style="359" bestFit="1" customWidth="1"/>
    <col min="1043" max="1050" width="6.7109375" style="359" customWidth="1"/>
    <col min="1051" max="1280" width="8.7109375" style="359"/>
    <col min="1281" max="1281" width="47.5703125" style="359" customWidth="1"/>
    <col min="1282" max="1282" width="14.5703125" style="359" customWidth="1"/>
    <col min="1283" max="1283" width="8.7109375" style="359"/>
    <col min="1284" max="1284" width="11.42578125" style="359" customWidth="1"/>
    <col min="1285" max="1285" width="9.42578125" style="359" customWidth="1"/>
    <col min="1286" max="1286" width="9.7109375" style="359" bestFit="1" customWidth="1"/>
    <col min="1287" max="1287" width="12.5703125" style="359" customWidth="1"/>
    <col min="1288" max="1288" width="23.7109375" style="359" customWidth="1"/>
    <col min="1289" max="1289" width="9.5703125" style="359" customWidth="1"/>
    <col min="1290" max="1290" width="9.85546875" style="359" customWidth="1"/>
    <col min="1291" max="1291" width="15.7109375" style="359" customWidth="1"/>
    <col min="1292" max="1292" width="11.28515625" style="359" bestFit="1" customWidth="1"/>
    <col min="1293" max="1293" width="12.140625" style="359" customWidth="1"/>
    <col min="1294" max="1294" width="9.7109375" style="359" customWidth="1"/>
    <col min="1295" max="1295" width="31.85546875" style="359" customWidth="1"/>
    <col min="1296" max="1296" width="16.7109375" style="359" customWidth="1"/>
    <col min="1297" max="1297" width="9.7109375" style="359" customWidth="1"/>
    <col min="1298" max="1298" width="17" style="359" bestFit="1" customWidth="1"/>
    <col min="1299" max="1306" width="6.7109375" style="359" customWidth="1"/>
    <col min="1307" max="1536" width="8.7109375" style="359"/>
    <col min="1537" max="1537" width="47.5703125" style="359" customWidth="1"/>
    <col min="1538" max="1538" width="14.5703125" style="359" customWidth="1"/>
    <col min="1539" max="1539" width="8.7109375" style="359"/>
    <col min="1540" max="1540" width="11.42578125" style="359" customWidth="1"/>
    <col min="1541" max="1541" width="9.42578125" style="359" customWidth="1"/>
    <col min="1542" max="1542" width="9.7109375" style="359" bestFit="1" customWidth="1"/>
    <col min="1543" max="1543" width="12.5703125" style="359" customWidth="1"/>
    <col min="1544" max="1544" width="23.7109375" style="359" customWidth="1"/>
    <col min="1545" max="1545" width="9.5703125" style="359" customWidth="1"/>
    <col min="1546" max="1546" width="9.85546875" style="359" customWidth="1"/>
    <col min="1547" max="1547" width="15.7109375" style="359" customWidth="1"/>
    <col min="1548" max="1548" width="11.28515625" style="359" bestFit="1" customWidth="1"/>
    <col min="1549" max="1549" width="12.140625" style="359" customWidth="1"/>
    <col min="1550" max="1550" width="9.7109375" style="359" customWidth="1"/>
    <col min="1551" max="1551" width="31.85546875" style="359" customWidth="1"/>
    <col min="1552" max="1552" width="16.7109375" style="359" customWidth="1"/>
    <col min="1553" max="1553" width="9.7109375" style="359" customWidth="1"/>
    <col min="1554" max="1554" width="17" style="359" bestFit="1" customWidth="1"/>
    <col min="1555" max="1562" width="6.7109375" style="359" customWidth="1"/>
    <col min="1563" max="1792" width="8.7109375" style="359"/>
    <col min="1793" max="1793" width="47.5703125" style="359" customWidth="1"/>
    <col min="1794" max="1794" width="14.5703125" style="359" customWidth="1"/>
    <col min="1795" max="1795" width="8.7109375" style="359"/>
    <col min="1796" max="1796" width="11.42578125" style="359" customWidth="1"/>
    <col min="1797" max="1797" width="9.42578125" style="359" customWidth="1"/>
    <col min="1798" max="1798" width="9.7109375" style="359" bestFit="1" customWidth="1"/>
    <col min="1799" max="1799" width="12.5703125" style="359" customWidth="1"/>
    <col min="1800" max="1800" width="23.7109375" style="359" customWidth="1"/>
    <col min="1801" max="1801" width="9.5703125" style="359" customWidth="1"/>
    <col min="1802" max="1802" width="9.85546875" style="359" customWidth="1"/>
    <col min="1803" max="1803" width="15.7109375" style="359" customWidth="1"/>
    <col min="1804" max="1804" width="11.28515625" style="359" bestFit="1" customWidth="1"/>
    <col min="1805" max="1805" width="12.140625" style="359" customWidth="1"/>
    <col min="1806" max="1806" width="9.7109375" style="359" customWidth="1"/>
    <col min="1807" max="1807" width="31.85546875" style="359" customWidth="1"/>
    <col min="1808" max="1808" width="16.7109375" style="359" customWidth="1"/>
    <col min="1809" max="1809" width="9.7109375" style="359" customWidth="1"/>
    <col min="1810" max="1810" width="17" style="359" bestFit="1" customWidth="1"/>
    <col min="1811" max="1818" width="6.7109375" style="359" customWidth="1"/>
    <col min="1819" max="2048" width="8.7109375" style="359"/>
    <col min="2049" max="2049" width="47.5703125" style="359" customWidth="1"/>
    <col min="2050" max="2050" width="14.5703125" style="359" customWidth="1"/>
    <col min="2051" max="2051" width="8.7109375" style="359"/>
    <col min="2052" max="2052" width="11.42578125" style="359" customWidth="1"/>
    <col min="2053" max="2053" width="9.42578125" style="359" customWidth="1"/>
    <col min="2054" max="2054" width="9.7109375" style="359" bestFit="1" customWidth="1"/>
    <col min="2055" max="2055" width="12.5703125" style="359" customWidth="1"/>
    <col min="2056" max="2056" width="23.7109375" style="359" customWidth="1"/>
    <col min="2057" max="2057" width="9.5703125" style="359" customWidth="1"/>
    <col min="2058" max="2058" width="9.85546875" style="359" customWidth="1"/>
    <col min="2059" max="2059" width="15.7109375" style="359" customWidth="1"/>
    <col min="2060" max="2060" width="11.28515625" style="359" bestFit="1" customWidth="1"/>
    <col min="2061" max="2061" width="12.140625" style="359" customWidth="1"/>
    <col min="2062" max="2062" width="9.7109375" style="359" customWidth="1"/>
    <col min="2063" max="2063" width="31.85546875" style="359" customWidth="1"/>
    <col min="2064" max="2064" width="16.7109375" style="359" customWidth="1"/>
    <col min="2065" max="2065" width="9.7109375" style="359" customWidth="1"/>
    <col min="2066" max="2066" width="17" style="359" bestFit="1" customWidth="1"/>
    <col min="2067" max="2074" width="6.7109375" style="359" customWidth="1"/>
    <col min="2075" max="2304" width="8.7109375" style="359"/>
    <col min="2305" max="2305" width="47.5703125" style="359" customWidth="1"/>
    <col min="2306" max="2306" width="14.5703125" style="359" customWidth="1"/>
    <col min="2307" max="2307" width="8.7109375" style="359"/>
    <col min="2308" max="2308" width="11.42578125" style="359" customWidth="1"/>
    <col min="2309" max="2309" width="9.42578125" style="359" customWidth="1"/>
    <col min="2310" max="2310" width="9.7109375" style="359" bestFit="1" customWidth="1"/>
    <col min="2311" max="2311" width="12.5703125" style="359" customWidth="1"/>
    <col min="2312" max="2312" width="23.7109375" style="359" customWidth="1"/>
    <col min="2313" max="2313" width="9.5703125" style="359" customWidth="1"/>
    <col min="2314" max="2314" width="9.85546875" style="359" customWidth="1"/>
    <col min="2315" max="2315" width="15.7109375" style="359" customWidth="1"/>
    <col min="2316" max="2316" width="11.28515625" style="359" bestFit="1" customWidth="1"/>
    <col min="2317" max="2317" width="12.140625" style="359" customWidth="1"/>
    <col min="2318" max="2318" width="9.7109375" style="359" customWidth="1"/>
    <col min="2319" max="2319" width="31.85546875" style="359" customWidth="1"/>
    <col min="2320" max="2320" width="16.7109375" style="359" customWidth="1"/>
    <col min="2321" max="2321" width="9.7109375" style="359" customWidth="1"/>
    <col min="2322" max="2322" width="17" style="359" bestFit="1" customWidth="1"/>
    <col min="2323" max="2330" width="6.7109375" style="359" customWidth="1"/>
    <col min="2331" max="2560" width="8.7109375" style="359"/>
    <col min="2561" max="2561" width="47.5703125" style="359" customWidth="1"/>
    <col min="2562" max="2562" width="14.5703125" style="359" customWidth="1"/>
    <col min="2563" max="2563" width="8.7109375" style="359"/>
    <col min="2564" max="2564" width="11.42578125" style="359" customWidth="1"/>
    <col min="2565" max="2565" width="9.42578125" style="359" customWidth="1"/>
    <col min="2566" max="2566" width="9.7109375" style="359" bestFit="1" customWidth="1"/>
    <col min="2567" max="2567" width="12.5703125" style="359" customWidth="1"/>
    <col min="2568" max="2568" width="23.7109375" style="359" customWidth="1"/>
    <col min="2569" max="2569" width="9.5703125" style="359" customWidth="1"/>
    <col min="2570" max="2570" width="9.85546875" style="359" customWidth="1"/>
    <col min="2571" max="2571" width="15.7109375" style="359" customWidth="1"/>
    <col min="2572" max="2572" width="11.28515625" style="359" bestFit="1" customWidth="1"/>
    <col min="2573" max="2573" width="12.140625" style="359" customWidth="1"/>
    <col min="2574" max="2574" width="9.7109375" style="359" customWidth="1"/>
    <col min="2575" max="2575" width="31.85546875" style="359" customWidth="1"/>
    <col min="2576" max="2576" width="16.7109375" style="359" customWidth="1"/>
    <col min="2577" max="2577" width="9.7109375" style="359" customWidth="1"/>
    <col min="2578" max="2578" width="17" style="359" bestFit="1" customWidth="1"/>
    <col min="2579" max="2586" width="6.7109375" style="359" customWidth="1"/>
    <col min="2587" max="2816" width="8.7109375" style="359"/>
    <col min="2817" max="2817" width="47.5703125" style="359" customWidth="1"/>
    <col min="2818" max="2818" width="14.5703125" style="359" customWidth="1"/>
    <col min="2819" max="2819" width="8.7109375" style="359"/>
    <col min="2820" max="2820" width="11.42578125" style="359" customWidth="1"/>
    <col min="2821" max="2821" width="9.42578125" style="359" customWidth="1"/>
    <col min="2822" max="2822" width="9.7109375" style="359" bestFit="1" customWidth="1"/>
    <col min="2823" max="2823" width="12.5703125" style="359" customWidth="1"/>
    <col min="2824" max="2824" width="23.7109375" style="359" customWidth="1"/>
    <col min="2825" max="2825" width="9.5703125" style="359" customWidth="1"/>
    <col min="2826" max="2826" width="9.85546875" style="359" customWidth="1"/>
    <col min="2827" max="2827" width="15.7109375" style="359" customWidth="1"/>
    <col min="2828" max="2828" width="11.28515625" style="359" bestFit="1" customWidth="1"/>
    <col min="2829" max="2829" width="12.140625" style="359" customWidth="1"/>
    <col min="2830" max="2830" width="9.7109375" style="359" customWidth="1"/>
    <col min="2831" max="2831" width="31.85546875" style="359" customWidth="1"/>
    <col min="2832" max="2832" width="16.7109375" style="359" customWidth="1"/>
    <col min="2833" max="2833" width="9.7109375" style="359" customWidth="1"/>
    <col min="2834" max="2834" width="17" style="359" bestFit="1" customWidth="1"/>
    <col min="2835" max="2842" width="6.7109375" style="359" customWidth="1"/>
    <col min="2843" max="3072" width="8.7109375" style="359"/>
    <col min="3073" max="3073" width="47.5703125" style="359" customWidth="1"/>
    <col min="3074" max="3074" width="14.5703125" style="359" customWidth="1"/>
    <col min="3075" max="3075" width="8.7109375" style="359"/>
    <col min="3076" max="3076" width="11.42578125" style="359" customWidth="1"/>
    <col min="3077" max="3077" width="9.42578125" style="359" customWidth="1"/>
    <col min="3078" max="3078" width="9.7109375" style="359" bestFit="1" customWidth="1"/>
    <col min="3079" max="3079" width="12.5703125" style="359" customWidth="1"/>
    <col min="3080" max="3080" width="23.7109375" style="359" customWidth="1"/>
    <col min="3081" max="3081" width="9.5703125" style="359" customWidth="1"/>
    <col min="3082" max="3082" width="9.85546875" style="359" customWidth="1"/>
    <col min="3083" max="3083" width="15.7109375" style="359" customWidth="1"/>
    <col min="3084" max="3084" width="11.28515625" style="359" bestFit="1" customWidth="1"/>
    <col min="3085" max="3085" width="12.140625" style="359" customWidth="1"/>
    <col min="3086" max="3086" width="9.7109375" style="359" customWidth="1"/>
    <col min="3087" max="3087" width="31.85546875" style="359" customWidth="1"/>
    <col min="3088" max="3088" width="16.7109375" style="359" customWidth="1"/>
    <col min="3089" max="3089" width="9.7109375" style="359" customWidth="1"/>
    <col min="3090" max="3090" width="17" style="359" bestFit="1" customWidth="1"/>
    <col min="3091" max="3098" width="6.7109375" style="359" customWidth="1"/>
    <col min="3099" max="3328" width="8.7109375" style="359"/>
    <col min="3329" max="3329" width="47.5703125" style="359" customWidth="1"/>
    <col min="3330" max="3330" width="14.5703125" style="359" customWidth="1"/>
    <col min="3331" max="3331" width="8.7109375" style="359"/>
    <col min="3332" max="3332" width="11.42578125" style="359" customWidth="1"/>
    <col min="3333" max="3333" width="9.42578125" style="359" customWidth="1"/>
    <col min="3334" max="3334" width="9.7109375" style="359" bestFit="1" customWidth="1"/>
    <col min="3335" max="3335" width="12.5703125" style="359" customWidth="1"/>
    <col min="3336" max="3336" width="23.7109375" style="359" customWidth="1"/>
    <col min="3337" max="3337" width="9.5703125" style="359" customWidth="1"/>
    <col min="3338" max="3338" width="9.85546875" style="359" customWidth="1"/>
    <col min="3339" max="3339" width="15.7109375" style="359" customWidth="1"/>
    <col min="3340" max="3340" width="11.28515625" style="359" bestFit="1" customWidth="1"/>
    <col min="3341" max="3341" width="12.140625" style="359" customWidth="1"/>
    <col min="3342" max="3342" width="9.7109375" style="359" customWidth="1"/>
    <col min="3343" max="3343" width="31.85546875" style="359" customWidth="1"/>
    <col min="3344" max="3344" width="16.7109375" style="359" customWidth="1"/>
    <col min="3345" max="3345" width="9.7109375" style="359" customWidth="1"/>
    <col min="3346" max="3346" width="17" style="359" bestFit="1" customWidth="1"/>
    <col min="3347" max="3354" width="6.7109375" style="359" customWidth="1"/>
    <col min="3355" max="3584" width="8.7109375" style="359"/>
    <col min="3585" max="3585" width="47.5703125" style="359" customWidth="1"/>
    <col min="3586" max="3586" width="14.5703125" style="359" customWidth="1"/>
    <col min="3587" max="3587" width="8.7109375" style="359"/>
    <col min="3588" max="3588" width="11.42578125" style="359" customWidth="1"/>
    <col min="3589" max="3589" width="9.42578125" style="359" customWidth="1"/>
    <col min="3590" max="3590" width="9.7109375" style="359" bestFit="1" customWidth="1"/>
    <col min="3591" max="3591" width="12.5703125" style="359" customWidth="1"/>
    <col min="3592" max="3592" width="23.7109375" style="359" customWidth="1"/>
    <col min="3593" max="3593" width="9.5703125" style="359" customWidth="1"/>
    <col min="3594" max="3594" width="9.85546875" style="359" customWidth="1"/>
    <col min="3595" max="3595" width="15.7109375" style="359" customWidth="1"/>
    <col min="3596" max="3596" width="11.28515625" style="359" bestFit="1" customWidth="1"/>
    <col min="3597" max="3597" width="12.140625" style="359" customWidth="1"/>
    <col min="3598" max="3598" width="9.7109375" style="359" customWidth="1"/>
    <col min="3599" max="3599" width="31.85546875" style="359" customWidth="1"/>
    <col min="3600" max="3600" width="16.7109375" style="359" customWidth="1"/>
    <col min="3601" max="3601" width="9.7109375" style="359" customWidth="1"/>
    <col min="3602" max="3602" width="17" style="359" bestFit="1" customWidth="1"/>
    <col min="3603" max="3610" width="6.7109375" style="359" customWidth="1"/>
    <col min="3611" max="3840" width="8.7109375" style="359"/>
    <col min="3841" max="3841" width="47.5703125" style="359" customWidth="1"/>
    <col min="3842" max="3842" width="14.5703125" style="359" customWidth="1"/>
    <col min="3843" max="3843" width="8.7109375" style="359"/>
    <col min="3844" max="3844" width="11.42578125" style="359" customWidth="1"/>
    <col min="3845" max="3845" width="9.42578125" style="359" customWidth="1"/>
    <col min="3846" max="3846" width="9.7109375" style="359" bestFit="1" customWidth="1"/>
    <col min="3847" max="3847" width="12.5703125" style="359" customWidth="1"/>
    <col min="3848" max="3848" width="23.7109375" style="359" customWidth="1"/>
    <col min="3849" max="3849" width="9.5703125" style="359" customWidth="1"/>
    <col min="3850" max="3850" width="9.85546875" style="359" customWidth="1"/>
    <col min="3851" max="3851" width="15.7109375" style="359" customWidth="1"/>
    <col min="3852" max="3852" width="11.28515625" style="359" bestFit="1" customWidth="1"/>
    <col min="3853" max="3853" width="12.140625" style="359" customWidth="1"/>
    <col min="3854" max="3854" width="9.7109375" style="359" customWidth="1"/>
    <col min="3855" max="3855" width="31.85546875" style="359" customWidth="1"/>
    <col min="3856" max="3856" width="16.7109375" style="359" customWidth="1"/>
    <col min="3857" max="3857" width="9.7109375" style="359" customWidth="1"/>
    <col min="3858" max="3858" width="17" style="359" bestFit="1" customWidth="1"/>
    <col min="3859" max="3866" width="6.7109375" style="359" customWidth="1"/>
    <col min="3867" max="4096" width="8.7109375" style="359"/>
    <col min="4097" max="4097" width="47.5703125" style="359" customWidth="1"/>
    <col min="4098" max="4098" width="14.5703125" style="359" customWidth="1"/>
    <col min="4099" max="4099" width="8.7109375" style="359"/>
    <col min="4100" max="4100" width="11.42578125" style="359" customWidth="1"/>
    <col min="4101" max="4101" width="9.42578125" style="359" customWidth="1"/>
    <col min="4102" max="4102" width="9.7109375" style="359" bestFit="1" customWidth="1"/>
    <col min="4103" max="4103" width="12.5703125" style="359" customWidth="1"/>
    <col min="4104" max="4104" width="23.7109375" style="359" customWidth="1"/>
    <col min="4105" max="4105" width="9.5703125" style="359" customWidth="1"/>
    <col min="4106" max="4106" width="9.85546875" style="359" customWidth="1"/>
    <col min="4107" max="4107" width="15.7109375" style="359" customWidth="1"/>
    <col min="4108" max="4108" width="11.28515625" style="359" bestFit="1" customWidth="1"/>
    <col min="4109" max="4109" width="12.140625" style="359" customWidth="1"/>
    <col min="4110" max="4110" width="9.7109375" style="359" customWidth="1"/>
    <col min="4111" max="4111" width="31.85546875" style="359" customWidth="1"/>
    <col min="4112" max="4112" width="16.7109375" style="359" customWidth="1"/>
    <col min="4113" max="4113" width="9.7109375" style="359" customWidth="1"/>
    <col min="4114" max="4114" width="17" style="359" bestFit="1" customWidth="1"/>
    <col min="4115" max="4122" width="6.7109375" style="359" customWidth="1"/>
    <col min="4123" max="4352" width="8.7109375" style="359"/>
    <col min="4353" max="4353" width="47.5703125" style="359" customWidth="1"/>
    <col min="4354" max="4354" width="14.5703125" style="359" customWidth="1"/>
    <col min="4355" max="4355" width="8.7109375" style="359"/>
    <col min="4356" max="4356" width="11.42578125" style="359" customWidth="1"/>
    <col min="4357" max="4357" width="9.42578125" style="359" customWidth="1"/>
    <col min="4358" max="4358" width="9.7109375" style="359" bestFit="1" customWidth="1"/>
    <col min="4359" max="4359" width="12.5703125" style="359" customWidth="1"/>
    <col min="4360" max="4360" width="23.7109375" style="359" customWidth="1"/>
    <col min="4361" max="4361" width="9.5703125" style="359" customWidth="1"/>
    <col min="4362" max="4362" width="9.85546875" style="359" customWidth="1"/>
    <col min="4363" max="4363" width="15.7109375" style="359" customWidth="1"/>
    <col min="4364" max="4364" width="11.28515625" style="359" bestFit="1" customWidth="1"/>
    <col min="4365" max="4365" width="12.140625" style="359" customWidth="1"/>
    <col min="4366" max="4366" width="9.7109375" style="359" customWidth="1"/>
    <col min="4367" max="4367" width="31.85546875" style="359" customWidth="1"/>
    <col min="4368" max="4368" width="16.7109375" style="359" customWidth="1"/>
    <col min="4369" max="4369" width="9.7109375" style="359" customWidth="1"/>
    <col min="4370" max="4370" width="17" style="359" bestFit="1" customWidth="1"/>
    <col min="4371" max="4378" width="6.7109375" style="359" customWidth="1"/>
    <col min="4379" max="4608" width="8.7109375" style="359"/>
    <col min="4609" max="4609" width="47.5703125" style="359" customWidth="1"/>
    <col min="4610" max="4610" width="14.5703125" style="359" customWidth="1"/>
    <col min="4611" max="4611" width="8.7109375" style="359"/>
    <col min="4612" max="4612" width="11.42578125" style="359" customWidth="1"/>
    <col min="4613" max="4613" width="9.42578125" style="359" customWidth="1"/>
    <col min="4614" max="4614" width="9.7109375" style="359" bestFit="1" customWidth="1"/>
    <col min="4615" max="4615" width="12.5703125" style="359" customWidth="1"/>
    <col min="4616" max="4616" width="23.7109375" style="359" customWidth="1"/>
    <col min="4617" max="4617" width="9.5703125" style="359" customWidth="1"/>
    <col min="4618" max="4618" width="9.85546875" style="359" customWidth="1"/>
    <col min="4619" max="4619" width="15.7109375" style="359" customWidth="1"/>
    <col min="4620" max="4620" width="11.28515625" style="359" bestFit="1" customWidth="1"/>
    <col min="4621" max="4621" width="12.140625" style="359" customWidth="1"/>
    <col min="4622" max="4622" width="9.7109375" style="359" customWidth="1"/>
    <col min="4623" max="4623" width="31.85546875" style="359" customWidth="1"/>
    <col min="4624" max="4624" width="16.7109375" style="359" customWidth="1"/>
    <col min="4625" max="4625" width="9.7109375" style="359" customWidth="1"/>
    <col min="4626" max="4626" width="17" style="359" bestFit="1" customWidth="1"/>
    <col min="4627" max="4634" width="6.7109375" style="359" customWidth="1"/>
    <col min="4635" max="4864" width="8.7109375" style="359"/>
    <col min="4865" max="4865" width="47.5703125" style="359" customWidth="1"/>
    <col min="4866" max="4866" width="14.5703125" style="359" customWidth="1"/>
    <col min="4867" max="4867" width="8.7109375" style="359"/>
    <col min="4868" max="4868" width="11.42578125" style="359" customWidth="1"/>
    <col min="4869" max="4869" width="9.42578125" style="359" customWidth="1"/>
    <col min="4870" max="4870" width="9.7109375" style="359" bestFit="1" customWidth="1"/>
    <col min="4871" max="4871" width="12.5703125" style="359" customWidth="1"/>
    <col min="4872" max="4872" width="23.7109375" style="359" customWidth="1"/>
    <col min="4873" max="4873" width="9.5703125" style="359" customWidth="1"/>
    <col min="4874" max="4874" width="9.85546875" style="359" customWidth="1"/>
    <col min="4875" max="4875" width="15.7109375" style="359" customWidth="1"/>
    <col min="4876" max="4876" width="11.28515625" style="359" bestFit="1" customWidth="1"/>
    <col min="4877" max="4877" width="12.140625" style="359" customWidth="1"/>
    <col min="4878" max="4878" width="9.7109375" style="359" customWidth="1"/>
    <col min="4879" max="4879" width="31.85546875" style="359" customWidth="1"/>
    <col min="4880" max="4880" width="16.7109375" style="359" customWidth="1"/>
    <col min="4881" max="4881" width="9.7109375" style="359" customWidth="1"/>
    <col min="4882" max="4882" width="17" style="359" bestFit="1" customWidth="1"/>
    <col min="4883" max="4890" width="6.7109375" style="359" customWidth="1"/>
    <col min="4891" max="5120" width="8.7109375" style="359"/>
    <col min="5121" max="5121" width="47.5703125" style="359" customWidth="1"/>
    <col min="5122" max="5122" width="14.5703125" style="359" customWidth="1"/>
    <col min="5123" max="5123" width="8.7109375" style="359"/>
    <col min="5124" max="5124" width="11.42578125" style="359" customWidth="1"/>
    <col min="5125" max="5125" width="9.42578125" style="359" customWidth="1"/>
    <col min="5126" max="5126" width="9.7109375" style="359" bestFit="1" customWidth="1"/>
    <col min="5127" max="5127" width="12.5703125" style="359" customWidth="1"/>
    <col min="5128" max="5128" width="23.7109375" style="359" customWidth="1"/>
    <col min="5129" max="5129" width="9.5703125" style="359" customWidth="1"/>
    <col min="5130" max="5130" width="9.85546875" style="359" customWidth="1"/>
    <col min="5131" max="5131" width="15.7109375" style="359" customWidth="1"/>
    <col min="5132" max="5132" width="11.28515625" style="359" bestFit="1" customWidth="1"/>
    <col min="5133" max="5133" width="12.140625" style="359" customWidth="1"/>
    <col min="5134" max="5134" width="9.7109375" style="359" customWidth="1"/>
    <col min="5135" max="5135" width="31.85546875" style="359" customWidth="1"/>
    <col min="5136" max="5136" width="16.7109375" style="359" customWidth="1"/>
    <col min="5137" max="5137" width="9.7109375" style="359" customWidth="1"/>
    <col min="5138" max="5138" width="17" style="359" bestFit="1" customWidth="1"/>
    <col min="5139" max="5146" width="6.7109375" style="359" customWidth="1"/>
    <col min="5147" max="5376" width="8.7109375" style="359"/>
    <col min="5377" max="5377" width="47.5703125" style="359" customWidth="1"/>
    <col min="5378" max="5378" width="14.5703125" style="359" customWidth="1"/>
    <col min="5379" max="5379" width="8.7109375" style="359"/>
    <col min="5380" max="5380" width="11.42578125" style="359" customWidth="1"/>
    <col min="5381" max="5381" width="9.42578125" style="359" customWidth="1"/>
    <col min="5382" max="5382" width="9.7109375" style="359" bestFit="1" customWidth="1"/>
    <col min="5383" max="5383" width="12.5703125" style="359" customWidth="1"/>
    <col min="5384" max="5384" width="23.7109375" style="359" customWidth="1"/>
    <col min="5385" max="5385" width="9.5703125" style="359" customWidth="1"/>
    <col min="5386" max="5386" width="9.85546875" style="359" customWidth="1"/>
    <col min="5387" max="5387" width="15.7109375" style="359" customWidth="1"/>
    <col min="5388" max="5388" width="11.28515625" style="359" bestFit="1" customWidth="1"/>
    <col min="5389" max="5389" width="12.140625" style="359" customWidth="1"/>
    <col min="5390" max="5390" width="9.7109375" style="359" customWidth="1"/>
    <col min="5391" max="5391" width="31.85546875" style="359" customWidth="1"/>
    <col min="5392" max="5392" width="16.7109375" style="359" customWidth="1"/>
    <col min="5393" max="5393" width="9.7109375" style="359" customWidth="1"/>
    <col min="5394" max="5394" width="17" style="359" bestFit="1" customWidth="1"/>
    <col min="5395" max="5402" width="6.7109375" style="359" customWidth="1"/>
    <col min="5403" max="5632" width="8.7109375" style="359"/>
    <col min="5633" max="5633" width="47.5703125" style="359" customWidth="1"/>
    <col min="5634" max="5634" width="14.5703125" style="359" customWidth="1"/>
    <col min="5635" max="5635" width="8.7109375" style="359"/>
    <col min="5636" max="5636" width="11.42578125" style="359" customWidth="1"/>
    <col min="5637" max="5637" width="9.42578125" style="359" customWidth="1"/>
    <col min="5638" max="5638" width="9.7109375" style="359" bestFit="1" customWidth="1"/>
    <col min="5639" max="5639" width="12.5703125" style="359" customWidth="1"/>
    <col min="5640" max="5640" width="23.7109375" style="359" customWidth="1"/>
    <col min="5641" max="5641" width="9.5703125" style="359" customWidth="1"/>
    <col min="5642" max="5642" width="9.85546875" style="359" customWidth="1"/>
    <col min="5643" max="5643" width="15.7109375" style="359" customWidth="1"/>
    <col min="5644" max="5644" width="11.28515625" style="359" bestFit="1" customWidth="1"/>
    <col min="5645" max="5645" width="12.140625" style="359" customWidth="1"/>
    <col min="5646" max="5646" width="9.7109375" style="359" customWidth="1"/>
    <col min="5647" max="5647" width="31.85546875" style="359" customWidth="1"/>
    <col min="5648" max="5648" width="16.7109375" style="359" customWidth="1"/>
    <col min="5649" max="5649" width="9.7109375" style="359" customWidth="1"/>
    <col min="5650" max="5650" width="17" style="359" bestFit="1" customWidth="1"/>
    <col min="5651" max="5658" width="6.7109375" style="359" customWidth="1"/>
    <col min="5659" max="5888" width="8.7109375" style="359"/>
    <col min="5889" max="5889" width="47.5703125" style="359" customWidth="1"/>
    <col min="5890" max="5890" width="14.5703125" style="359" customWidth="1"/>
    <col min="5891" max="5891" width="8.7109375" style="359"/>
    <col min="5892" max="5892" width="11.42578125" style="359" customWidth="1"/>
    <col min="5893" max="5893" width="9.42578125" style="359" customWidth="1"/>
    <col min="5894" max="5894" width="9.7109375" style="359" bestFit="1" customWidth="1"/>
    <col min="5895" max="5895" width="12.5703125" style="359" customWidth="1"/>
    <col min="5896" max="5896" width="23.7109375" style="359" customWidth="1"/>
    <col min="5897" max="5897" width="9.5703125" style="359" customWidth="1"/>
    <col min="5898" max="5898" width="9.85546875" style="359" customWidth="1"/>
    <col min="5899" max="5899" width="15.7109375" style="359" customWidth="1"/>
    <col min="5900" max="5900" width="11.28515625" style="359" bestFit="1" customWidth="1"/>
    <col min="5901" max="5901" width="12.140625" style="359" customWidth="1"/>
    <col min="5902" max="5902" width="9.7109375" style="359" customWidth="1"/>
    <col min="5903" max="5903" width="31.85546875" style="359" customWidth="1"/>
    <col min="5904" max="5904" width="16.7109375" style="359" customWidth="1"/>
    <col min="5905" max="5905" width="9.7109375" style="359" customWidth="1"/>
    <col min="5906" max="5906" width="17" style="359" bestFit="1" customWidth="1"/>
    <col min="5907" max="5914" width="6.7109375" style="359" customWidth="1"/>
    <col min="5915" max="6144" width="8.7109375" style="359"/>
    <col min="6145" max="6145" width="47.5703125" style="359" customWidth="1"/>
    <col min="6146" max="6146" width="14.5703125" style="359" customWidth="1"/>
    <col min="6147" max="6147" width="8.7109375" style="359"/>
    <col min="6148" max="6148" width="11.42578125" style="359" customWidth="1"/>
    <col min="6149" max="6149" width="9.42578125" style="359" customWidth="1"/>
    <col min="6150" max="6150" width="9.7109375" style="359" bestFit="1" customWidth="1"/>
    <col min="6151" max="6151" width="12.5703125" style="359" customWidth="1"/>
    <col min="6152" max="6152" width="23.7109375" style="359" customWidth="1"/>
    <col min="6153" max="6153" width="9.5703125" style="359" customWidth="1"/>
    <col min="6154" max="6154" width="9.85546875" style="359" customWidth="1"/>
    <col min="6155" max="6155" width="15.7109375" style="359" customWidth="1"/>
    <col min="6156" max="6156" width="11.28515625" style="359" bestFit="1" customWidth="1"/>
    <col min="6157" max="6157" width="12.140625" style="359" customWidth="1"/>
    <col min="6158" max="6158" width="9.7109375" style="359" customWidth="1"/>
    <col min="6159" max="6159" width="31.85546875" style="359" customWidth="1"/>
    <col min="6160" max="6160" width="16.7109375" style="359" customWidth="1"/>
    <col min="6161" max="6161" width="9.7109375" style="359" customWidth="1"/>
    <col min="6162" max="6162" width="17" style="359" bestFit="1" customWidth="1"/>
    <col min="6163" max="6170" width="6.7109375" style="359" customWidth="1"/>
    <col min="6171" max="6400" width="8.7109375" style="359"/>
    <col min="6401" max="6401" width="47.5703125" style="359" customWidth="1"/>
    <col min="6402" max="6402" width="14.5703125" style="359" customWidth="1"/>
    <col min="6403" max="6403" width="8.7109375" style="359"/>
    <col min="6404" max="6404" width="11.42578125" style="359" customWidth="1"/>
    <col min="6405" max="6405" width="9.42578125" style="359" customWidth="1"/>
    <col min="6406" max="6406" width="9.7109375" style="359" bestFit="1" customWidth="1"/>
    <col min="6407" max="6407" width="12.5703125" style="359" customWidth="1"/>
    <col min="6408" max="6408" width="23.7109375" style="359" customWidth="1"/>
    <col min="6409" max="6409" width="9.5703125" style="359" customWidth="1"/>
    <col min="6410" max="6410" width="9.85546875" style="359" customWidth="1"/>
    <col min="6411" max="6411" width="15.7109375" style="359" customWidth="1"/>
    <col min="6412" max="6412" width="11.28515625" style="359" bestFit="1" customWidth="1"/>
    <col min="6413" max="6413" width="12.140625" style="359" customWidth="1"/>
    <col min="6414" max="6414" width="9.7109375" style="359" customWidth="1"/>
    <col min="6415" max="6415" width="31.85546875" style="359" customWidth="1"/>
    <col min="6416" max="6416" width="16.7109375" style="359" customWidth="1"/>
    <col min="6417" max="6417" width="9.7109375" style="359" customWidth="1"/>
    <col min="6418" max="6418" width="17" style="359" bestFit="1" customWidth="1"/>
    <col min="6419" max="6426" width="6.7109375" style="359" customWidth="1"/>
    <col min="6427" max="6656" width="8.7109375" style="359"/>
    <col min="6657" max="6657" width="47.5703125" style="359" customWidth="1"/>
    <col min="6658" max="6658" width="14.5703125" style="359" customWidth="1"/>
    <col min="6659" max="6659" width="8.7109375" style="359"/>
    <col min="6660" max="6660" width="11.42578125" style="359" customWidth="1"/>
    <col min="6661" max="6661" width="9.42578125" style="359" customWidth="1"/>
    <col min="6662" max="6662" width="9.7109375" style="359" bestFit="1" customWidth="1"/>
    <col min="6663" max="6663" width="12.5703125" style="359" customWidth="1"/>
    <col min="6664" max="6664" width="23.7109375" style="359" customWidth="1"/>
    <col min="6665" max="6665" width="9.5703125" style="359" customWidth="1"/>
    <col min="6666" max="6666" width="9.85546875" style="359" customWidth="1"/>
    <col min="6667" max="6667" width="15.7109375" style="359" customWidth="1"/>
    <col min="6668" max="6668" width="11.28515625" style="359" bestFit="1" customWidth="1"/>
    <col min="6669" max="6669" width="12.140625" style="359" customWidth="1"/>
    <col min="6670" max="6670" width="9.7109375" style="359" customWidth="1"/>
    <col min="6671" max="6671" width="31.85546875" style="359" customWidth="1"/>
    <col min="6672" max="6672" width="16.7109375" style="359" customWidth="1"/>
    <col min="6673" max="6673" width="9.7109375" style="359" customWidth="1"/>
    <col min="6674" max="6674" width="17" style="359" bestFit="1" customWidth="1"/>
    <col min="6675" max="6682" width="6.7109375" style="359" customWidth="1"/>
    <col min="6683" max="6912" width="8.7109375" style="359"/>
    <col min="6913" max="6913" width="47.5703125" style="359" customWidth="1"/>
    <col min="6914" max="6914" width="14.5703125" style="359" customWidth="1"/>
    <col min="6915" max="6915" width="8.7109375" style="359"/>
    <col min="6916" max="6916" width="11.42578125" style="359" customWidth="1"/>
    <col min="6917" max="6917" width="9.42578125" style="359" customWidth="1"/>
    <col min="6918" max="6918" width="9.7109375" style="359" bestFit="1" customWidth="1"/>
    <col min="6919" max="6919" width="12.5703125" style="359" customWidth="1"/>
    <col min="6920" max="6920" width="23.7109375" style="359" customWidth="1"/>
    <col min="6921" max="6921" width="9.5703125" style="359" customWidth="1"/>
    <col min="6922" max="6922" width="9.85546875" style="359" customWidth="1"/>
    <col min="6923" max="6923" width="15.7109375" style="359" customWidth="1"/>
    <col min="6924" max="6924" width="11.28515625" style="359" bestFit="1" customWidth="1"/>
    <col min="6925" max="6925" width="12.140625" style="359" customWidth="1"/>
    <col min="6926" max="6926" width="9.7109375" style="359" customWidth="1"/>
    <col min="6927" max="6927" width="31.85546875" style="359" customWidth="1"/>
    <col min="6928" max="6928" width="16.7109375" style="359" customWidth="1"/>
    <col min="6929" max="6929" width="9.7109375" style="359" customWidth="1"/>
    <col min="6930" max="6930" width="17" style="359" bestFit="1" customWidth="1"/>
    <col min="6931" max="6938" width="6.7109375" style="359" customWidth="1"/>
    <col min="6939" max="7168" width="8.7109375" style="359"/>
    <col min="7169" max="7169" width="47.5703125" style="359" customWidth="1"/>
    <col min="7170" max="7170" width="14.5703125" style="359" customWidth="1"/>
    <col min="7171" max="7171" width="8.7109375" style="359"/>
    <col min="7172" max="7172" width="11.42578125" style="359" customWidth="1"/>
    <col min="7173" max="7173" width="9.42578125" style="359" customWidth="1"/>
    <col min="7174" max="7174" width="9.7109375" style="359" bestFit="1" customWidth="1"/>
    <col min="7175" max="7175" width="12.5703125" style="359" customWidth="1"/>
    <col min="7176" max="7176" width="23.7109375" style="359" customWidth="1"/>
    <col min="7177" max="7177" width="9.5703125" style="359" customWidth="1"/>
    <col min="7178" max="7178" width="9.85546875" style="359" customWidth="1"/>
    <col min="7179" max="7179" width="15.7109375" style="359" customWidth="1"/>
    <col min="7180" max="7180" width="11.28515625" style="359" bestFit="1" customWidth="1"/>
    <col min="7181" max="7181" width="12.140625" style="359" customWidth="1"/>
    <col min="7182" max="7182" width="9.7109375" style="359" customWidth="1"/>
    <col min="7183" max="7183" width="31.85546875" style="359" customWidth="1"/>
    <col min="7184" max="7184" width="16.7109375" style="359" customWidth="1"/>
    <col min="7185" max="7185" width="9.7109375" style="359" customWidth="1"/>
    <col min="7186" max="7186" width="17" style="359" bestFit="1" customWidth="1"/>
    <col min="7187" max="7194" width="6.7109375" style="359" customWidth="1"/>
    <col min="7195" max="7424" width="8.7109375" style="359"/>
    <col min="7425" max="7425" width="47.5703125" style="359" customWidth="1"/>
    <col min="7426" max="7426" width="14.5703125" style="359" customWidth="1"/>
    <col min="7427" max="7427" width="8.7109375" style="359"/>
    <col min="7428" max="7428" width="11.42578125" style="359" customWidth="1"/>
    <col min="7429" max="7429" width="9.42578125" style="359" customWidth="1"/>
    <col min="7430" max="7430" width="9.7109375" style="359" bestFit="1" customWidth="1"/>
    <col min="7431" max="7431" width="12.5703125" style="359" customWidth="1"/>
    <col min="7432" max="7432" width="23.7109375" style="359" customWidth="1"/>
    <col min="7433" max="7433" width="9.5703125" style="359" customWidth="1"/>
    <col min="7434" max="7434" width="9.85546875" style="359" customWidth="1"/>
    <col min="7435" max="7435" width="15.7109375" style="359" customWidth="1"/>
    <col min="7436" max="7436" width="11.28515625" style="359" bestFit="1" customWidth="1"/>
    <col min="7437" max="7437" width="12.140625" style="359" customWidth="1"/>
    <col min="7438" max="7438" width="9.7109375" style="359" customWidth="1"/>
    <col min="7439" max="7439" width="31.85546875" style="359" customWidth="1"/>
    <col min="7440" max="7440" width="16.7109375" style="359" customWidth="1"/>
    <col min="7441" max="7441" width="9.7109375" style="359" customWidth="1"/>
    <col min="7442" max="7442" width="17" style="359" bestFit="1" customWidth="1"/>
    <col min="7443" max="7450" width="6.7109375" style="359" customWidth="1"/>
    <col min="7451" max="7680" width="8.7109375" style="359"/>
    <col min="7681" max="7681" width="47.5703125" style="359" customWidth="1"/>
    <col min="7682" max="7682" width="14.5703125" style="359" customWidth="1"/>
    <col min="7683" max="7683" width="8.7109375" style="359"/>
    <col min="7684" max="7684" width="11.42578125" style="359" customWidth="1"/>
    <col min="7685" max="7685" width="9.42578125" style="359" customWidth="1"/>
    <col min="7686" max="7686" width="9.7109375" style="359" bestFit="1" customWidth="1"/>
    <col min="7687" max="7687" width="12.5703125" style="359" customWidth="1"/>
    <col min="7688" max="7688" width="23.7109375" style="359" customWidth="1"/>
    <col min="7689" max="7689" width="9.5703125" style="359" customWidth="1"/>
    <col min="7690" max="7690" width="9.85546875" style="359" customWidth="1"/>
    <col min="7691" max="7691" width="15.7109375" style="359" customWidth="1"/>
    <col min="7692" max="7692" width="11.28515625" style="359" bestFit="1" customWidth="1"/>
    <col min="7693" max="7693" width="12.140625" style="359" customWidth="1"/>
    <col min="7694" max="7694" width="9.7109375" style="359" customWidth="1"/>
    <col min="7695" max="7695" width="31.85546875" style="359" customWidth="1"/>
    <col min="7696" max="7696" width="16.7109375" style="359" customWidth="1"/>
    <col min="7697" max="7697" width="9.7109375" style="359" customWidth="1"/>
    <col min="7698" max="7698" width="17" style="359" bestFit="1" customWidth="1"/>
    <col min="7699" max="7706" width="6.7109375" style="359" customWidth="1"/>
    <col min="7707" max="7936" width="8.7109375" style="359"/>
    <col min="7937" max="7937" width="47.5703125" style="359" customWidth="1"/>
    <col min="7938" max="7938" width="14.5703125" style="359" customWidth="1"/>
    <col min="7939" max="7939" width="8.7109375" style="359"/>
    <col min="7940" max="7940" width="11.42578125" style="359" customWidth="1"/>
    <col min="7941" max="7941" width="9.42578125" style="359" customWidth="1"/>
    <col min="7942" max="7942" width="9.7109375" style="359" bestFit="1" customWidth="1"/>
    <col min="7943" max="7943" width="12.5703125" style="359" customWidth="1"/>
    <col min="7944" max="7944" width="23.7109375" style="359" customWidth="1"/>
    <col min="7945" max="7945" width="9.5703125" style="359" customWidth="1"/>
    <col min="7946" max="7946" width="9.85546875" style="359" customWidth="1"/>
    <col min="7947" max="7947" width="15.7109375" style="359" customWidth="1"/>
    <col min="7948" max="7948" width="11.28515625" style="359" bestFit="1" customWidth="1"/>
    <col min="7949" max="7949" width="12.140625" style="359" customWidth="1"/>
    <col min="7950" max="7950" width="9.7109375" style="359" customWidth="1"/>
    <col min="7951" max="7951" width="31.85546875" style="359" customWidth="1"/>
    <col min="7952" max="7952" width="16.7109375" style="359" customWidth="1"/>
    <col min="7953" max="7953" width="9.7109375" style="359" customWidth="1"/>
    <col min="7954" max="7954" width="17" style="359" bestFit="1" customWidth="1"/>
    <col min="7955" max="7962" width="6.7109375" style="359" customWidth="1"/>
    <col min="7963" max="8192" width="8.7109375" style="359"/>
    <col min="8193" max="8193" width="47.5703125" style="359" customWidth="1"/>
    <col min="8194" max="8194" width="14.5703125" style="359" customWidth="1"/>
    <col min="8195" max="8195" width="8.7109375" style="359"/>
    <col min="8196" max="8196" width="11.42578125" style="359" customWidth="1"/>
    <col min="8197" max="8197" width="9.42578125" style="359" customWidth="1"/>
    <col min="8198" max="8198" width="9.7109375" style="359" bestFit="1" customWidth="1"/>
    <col min="8199" max="8199" width="12.5703125" style="359" customWidth="1"/>
    <col min="8200" max="8200" width="23.7109375" style="359" customWidth="1"/>
    <col min="8201" max="8201" width="9.5703125" style="359" customWidth="1"/>
    <col min="8202" max="8202" width="9.85546875" style="359" customWidth="1"/>
    <col min="8203" max="8203" width="15.7109375" style="359" customWidth="1"/>
    <col min="8204" max="8204" width="11.28515625" style="359" bestFit="1" customWidth="1"/>
    <col min="8205" max="8205" width="12.140625" style="359" customWidth="1"/>
    <col min="8206" max="8206" width="9.7109375" style="359" customWidth="1"/>
    <col min="8207" max="8207" width="31.85546875" style="359" customWidth="1"/>
    <col min="8208" max="8208" width="16.7109375" style="359" customWidth="1"/>
    <col min="8209" max="8209" width="9.7109375" style="359" customWidth="1"/>
    <col min="8210" max="8210" width="17" style="359" bestFit="1" customWidth="1"/>
    <col min="8211" max="8218" width="6.7109375" style="359" customWidth="1"/>
    <col min="8219" max="8448" width="8.7109375" style="359"/>
    <col min="8449" max="8449" width="47.5703125" style="359" customWidth="1"/>
    <col min="8450" max="8450" width="14.5703125" style="359" customWidth="1"/>
    <col min="8451" max="8451" width="8.7109375" style="359"/>
    <col min="8452" max="8452" width="11.42578125" style="359" customWidth="1"/>
    <col min="8453" max="8453" width="9.42578125" style="359" customWidth="1"/>
    <col min="8454" max="8454" width="9.7109375" style="359" bestFit="1" customWidth="1"/>
    <col min="8455" max="8455" width="12.5703125" style="359" customWidth="1"/>
    <col min="8456" max="8456" width="23.7109375" style="359" customWidth="1"/>
    <col min="8457" max="8457" width="9.5703125" style="359" customWidth="1"/>
    <col min="8458" max="8458" width="9.85546875" style="359" customWidth="1"/>
    <col min="8459" max="8459" width="15.7109375" style="359" customWidth="1"/>
    <col min="8460" max="8460" width="11.28515625" style="359" bestFit="1" customWidth="1"/>
    <col min="8461" max="8461" width="12.140625" style="359" customWidth="1"/>
    <col min="8462" max="8462" width="9.7109375" style="359" customWidth="1"/>
    <col min="8463" max="8463" width="31.85546875" style="359" customWidth="1"/>
    <col min="8464" max="8464" width="16.7109375" style="359" customWidth="1"/>
    <col min="8465" max="8465" width="9.7109375" style="359" customWidth="1"/>
    <col min="8466" max="8466" width="17" style="359" bestFit="1" customWidth="1"/>
    <col min="8467" max="8474" width="6.7109375" style="359" customWidth="1"/>
    <col min="8475" max="8704" width="8.7109375" style="359"/>
    <col min="8705" max="8705" width="47.5703125" style="359" customWidth="1"/>
    <col min="8706" max="8706" width="14.5703125" style="359" customWidth="1"/>
    <col min="8707" max="8707" width="8.7109375" style="359"/>
    <col min="8708" max="8708" width="11.42578125" style="359" customWidth="1"/>
    <col min="8709" max="8709" width="9.42578125" style="359" customWidth="1"/>
    <col min="8710" max="8710" width="9.7109375" style="359" bestFit="1" customWidth="1"/>
    <col min="8711" max="8711" width="12.5703125" style="359" customWidth="1"/>
    <col min="8712" max="8712" width="23.7109375" style="359" customWidth="1"/>
    <col min="8713" max="8713" width="9.5703125" style="359" customWidth="1"/>
    <col min="8714" max="8714" width="9.85546875" style="359" customWidth="1"/>
    <col min="8715" max="8715" width="15.7109375" style="359" customWidth="1"/>
    <col min="8716" max="8716" width="11.28515625" style="359" bestFit="1" customWidth="1"/>
    <col min="8717" max="8717" width="12.140625" style="359" customWidth="1"/>
    <col min="8718" max="8718" width="9.7109375" style="359" customWidth="1"/>
    <col min="8719" max="8719" width="31.85546875" style="359" customWidth="1"/>
    <col min="8720" max="8720" width="16.7109375" style="359" customWidth="1"/>
    <col min="8721" max="8721" width="9.7109375" style="359" customWidth="1"/>
    <col min="8722" max="8722" width="17" style="359" bestFit="1" customWidth="1"/>
    <col min="8723" max="8730" width="6.7109375" style="359" customWidth="1"/>
    <col min="8731" max="8960" width="8.7109375" style="359"/>
    <col min="8961" max="8961" width="47.5703125" style="359" customWidth="1"/>
    <col min="8962" max="8962" width="14.5703125" style="359" customWidth="1"/>
    <col min="8963" max="8963" width="8.7109375" style="359"/>
    <col min="8964" max="8964" width="11.42578125" style="359" customWidth="1"/>
    <col min="8965" max="8965" width="9.42578125" style="359" customWidth="1"/>
    <col min="8966" max="8966" width="9.7109375" style="359" bestFit="1" customWidth="1"/>
    <col min="8967" max="8967" width="12.5703125" style="359" customWidth="1"/>
    <col min="8968" max="8968" width="23.7109375" style="359" customWidth="1"/>
    <col min="8969" max="8969" width="9.5703125" style="359" customWidth="1"/>
    <col min="8970" max="8970" width="9.85546875" style="359" customWidth="1"/>
    <col min="8971" max="8971" width="15.7109375" style="359" customWidth="1"/>
    <col min="8972" max="8972" width="11.28515625" style="359" bestFit="1" customWidth="1"/>
    <col min="8973" max="8973" width="12.140625" style="359" customWidth="1"/>
    <col min="8974" max="8974" width="9.7109375" style="359" customWidth="1"/>
    <col min="8975" max="8975" width="31.85546875" style="359" customWidth="1"/>
    <col min="8976" max="8976" width="16.7109375" style="359" customWidth="1"/>
    <col min="8977" max="8977" width="9.7109375" style="359" customWidth="1"/>
    <col min="8978" max="8978" width="17" style="359" bestFit="1" customWidth="1"/>
    <col min="8979" max="8986" width="6.7109375" style="359" customWidth="1"/>
    <col min="8987" max="9216" width="8.7109375" style="359"/>
    <col min="9217" max="9217" width="47.5703125" style="359" customWidth="1"/>
    <col min="9218" max="9218" width="14.5703125" style="359" customWidth="1"/>
    <col min="9219" max="9219" width="8.7109375" style="359"/>
    <col min="9220" max="9220" width="11.42578125" style="359" customWidth="1"/>
    <col min="9221" max="9221" width="9.42578125" style="359" customWidth="1"/>
    <col min="9222" max="9222" width="9.7109375" style="359" bestFit="1" customWidth="1"/>
    <col min="9223" max="9223" width="12.5703125" style="359" customWidth="1"/>
    <col min="9224" max="9224" width="23.7109375" style="359" customWidth="1"/>
    <col min="9225" max="9225" width="9.5703125" style="359" customWidth="1"/>
    <col min="9226" max="9226" width="9.85546875" style="359" customWidth="1"/>
    <col min="9227" max="9227" width="15.7109375" style="359" customWidth="1"/>
    <col min="9228" max="9228" width="11.28515625" style="359" bestFit="1" customWidth="1"/>
    <col min="9229" max="9229" width="12.140625" style="359" customWidth="1"/>
    <col min="9230" max="9230" width="9.7109375" style="359" customWidth="1"/>
    <col min="9231" max="9231" width="31.85546875" style="359" customWidth="1"/>
    <col min="9232" max="9232" width="16.7109375" style="359" customWidth="1"/>
    <col min="9233" max="9233" width="9.7109375" style="359" customWidth="1"/>
    <col min="9234" max="9234" width="17" style="359" bestFit="1" customWidth="1"/>
    <col min="9235" max="9242" width="6.7109375" style="359" customWidth="1"/>
    <col min="9243" max="9472" width="8.7109375" style="359"/>
    <col min="9473" max="9473" width="47.5703125" style="359" customWidth="1"/>
    <col min="9474" max="9474" width="14.5703125" style="359" customWidth="1"/>
    <col min="9475" max="9475" width="8.7109375" style="359"/>
    <col min="9476" max="9476" width="11.42578125" style="359" customWidth="1"/>
    <col min="9477" max="9477" width="9.42578125" style="359" customWidth="1"/>
    <col min="9478" max="9478" width="9.7109375" style="359" bestFit="1" customWidth="1"/>
    <col min="9479" max="9479" width="12.5703125" style="359" customWidth="1"/>
    <col min="9480" max="9480" width="23.7109375" style="359" customWidth="1"/>
    <col min="9481" max="9481" width="9.5703125" style="359" customWidth="1"/>
    <col min="9482" max="9482" width="9.85546875" style="359" customWidth="1"/>
    <col min="9483" max="9483" width="15.7109375" style="359" customWidth="1"/>
    <col min="9484" max="9484" width="11.28515625" style="359" bestFit="1" customWidth="1"/>
    <col min="9485" max="9485" width="12.140625" style="359" customWidth="1"/>
    <col min="9486" max="9486" width="9.7109375" style="359" customWidth="1"/>
    <col min="9487" max="9487" width="31.85546875" style="359" customWidth="1"/>
    <col min="9488" max="9488" width="16.7109375" style="359" customWidth="1"/>
    <col min="9489" max="9489" width="9.7109375" style="359" customWidth="1"/>
    <col min="9490" max="9490" width="17" style="359" bestFit="1" customWidth="1"/>
    <col min="9491" max="9498" width="6.7109375" style="359" customWidth="1"/>
    <col min="9499" max="9728" width="8.7109375" style="359"/>
    <col min="9729" max="9729" width="47.5703125" style="359" customWidth="1"/>
    <col min="9730" max="9730" width="14.5703125" style="359" customWidth="1"/>
    <col min="9731" max="9731" width="8.7109375" style="359"/>
    <col min="9732" max="9732" width="11.42578125" style="359" customWidth="1"/>
    <col min="9733" max="9733" width="9.42578125" style="359" customWidth="1"/>
    <col min="9734" max="9734" width="9.7109375" style="359" bestFit="1" customWidth="1"/>
    <col min="9735" max="9735" width="12.5703125" style="359" customWidth="1"/>
    <col min="9736" max="9736" width="23.7109375" style="359" customWidth="1"/>
    <col min="9737" max="9737" width="9.5703125" style="359" customWidth="1"/>
    <col min="9738" max="9738" width="9.85546875" style="359" customWidth="1"/>
    <col min="9739" max="9739" width="15.7109375" style="359" customWidth="1"/>
    <col min="9740" max="9740" width="11.28515625" style="359" bestFit="1" customWidth="1"/>
    <col min="9741" max="9741" width="12.140625" style="359" customWidth="1"/>
    <col min="9742" max="9742" width="9.7109375" style="359" customWidth="1"/>
    <col min="9743" max="9743" width="31.85546875" style="359" customWidth="1"/>
    <col min="9744" max="9744" width="16.7109375" style="359" customWidth="1"/>
    <col min="9745" max="9745" width="9.7109375" style="359" customWidth="1"/>
    <col min="9746" max="9746" width="17" style="359" bestFit="1" customWidth="1"/>
    <col min="9747" max="9754" width="6.7109375" style="359" customWidth="1"/>
    <col min="9755" max="9984" width="8.7109375" style="359"/>
    <col min="9985" max="9985" width="47.5703125" style="359" customWidth="1"/>
    <col min="9986" max="9986" width="14.5703125" style="359" customWidth="1"/>
    <col min="9987" max="9987" width="8.7109375" style="359"/>
    <col min="9988" max="9988" width="11.42578125" style="359" customWidth="1"/>
    <col min="9989" max="9989" width="9.42578125" style="359" customWidth="1"/>
    <col min="9990" max="9990" width="9.7109375" style="359" bestFit="1" customWidth="1"/>
    <col min="9991" max="9991" width="12.5703125" style="359" customWidth="1"/>
    <col min="9992" max="9992" width="23.7109375" style="359" customWidth="1"/>
    <col min="9993" max="9993" width="9.5703125" style="359" customWidth="1"/>
    <col min="9994" max="9994" width="9.85546875" style="359" customWidth="1"/>
    <col min="9995" max="9995" width="15.7109375" style="359" customWidth="1"/>
    <col min="9996" max="9996" width="11.28515625" style="359" bestFit="1" customWidth="1"/>
    <col min="9997" max="9997" width="12.140625" style="359" customWidth="1"/>
    <col min="9998" max="9998" width="9.7109375" style="359" customWidth="1"/>
    <col min="9999" max="9999" width="31.85546875" style="359" customWidth="1"/>
    <col min="10000" max="10000" width="16.7109375" style="359" customWidth="1"/>
    <col min="10001" max="10001" width="9.7109375" style="359" customWidth="1"/>
    <col min="10002" max="10002" width="17" style="359" bestFit="1" customWidth="1"/>
    <col min="10003" max="10010" width="6.7109375" style="359" customWidth="1"/>
    <col min="10011" max="10240" width="8.7109375" style="359"/>
    <col min="10241" max="10241" width="47.5703125" style="359" customWidth="1"/>
    <col min="10242" max="10242" width="14.5703125" style="359" customWidth="1"/>
    <col min="10243" max="10243" width="8.7109375" style="359"/>
    <col min="10244" max="10244" width="11.42578125" style="359" customWidth="1"/>
    <col min="10245" max="10245" width="9.42578125" style="359" customWidth="1"/>
    <col min="10246" max="10246" width="9.7109375" style="359" bestFit="1" customWidth="1"/>
    <col min="10247" max="10247" width="12.5703125" style="359" customWidth="1"/>
    <col min="10248" max="10248" width="23.7109375" style="359" customWidth="1"/>
    <col min="10249" max="10249" width="9.5703125" style="359" customWidth="1"/>
    <col min="10250" max="10250" width="9.85546875" style="359" customWidth="1"/>
    <col min="10251" max="10251" width="15.7109375" style="359" customWidth="1"/>
    <col min="10252" max="10252" width="11.28515625" style="359" bestFit="1" customWidth="1"/>
    <col min="10253" max="10253" width="12.140625" style="359" customWidth="1"/>
    <col min="10254" max="10254" width="9.7109375" style="359" customWidth="1"/>
    <col min="10255" max="10255" width="31.85546875" style="359" customWidth="1"/>
    <col min="10256" max="10256" width="16.7109375" style="359" customWidth="1"/>
    <col min="10257" max="10257" width="9.7109375" style="359" customWidth="1"/>
    <col min="10258" max="10258" width="17" style="359" bestFit="1" customWidth="1"/>
    <col min="10259" max="10266" width="6.7109375" style="359" customWidth="1"/>
    <col min="10267" max="10496" width="8.7109375" style="359"/>
    <col min="10497" max="10497" width="47.5703125" style="359" customWidth="1"/>
    <col min="10498" max="10498" width="14.5703125" style="359" customWidth="1"/>
    <col min="10499" max="10499" width="8.7109375" style="359"/>
    <col min="10500" max="10500" width="11.42578125" style="359" customWidth="1"/>
    <col min="10501" max="10501" width="9.42578125" style="359" customWidth="1"/>
    <col min="10502" max="10502" width="9.7109375" style="359" bestFit="1" customWidth="1"/>
    <col min="10503" max="10503" width="12.5703125" style="359" customWidth="1"/>
    <col min="10504" max="10504" width="23.7109375" style="359" customWidth="1"/>
    <col min="10505" max="10505" width="9.5703125" style="359" customWidth="1"/>
    <col min="10506" max="10506" width="9.85546875" style="359" customWidth="1"/>
    <col min="10507" max="10507" width="15.7109375" style="359" customWidth="1"/>
    <col min="10508" max="10508" width="11.28515625" style="359" bestFit="1" customWidth="1"/>
    <col min="10509" max="10509" width="12.140625" style="359" customWidth="1"/>
    <col min="10510" max="10510" width="9.7109375" style="359" customWidth="1"/>
    <col min="10511" max="10511" width="31.85546875" style="359" customWidth="1"/>
    <col min="10512" max="10512" width="16.7109375" style="359" customWidth="1"/>
    <col min="10513" max="10513" width="9.7109375" style="359" customWidth="1"/>
    <col min="10514" max="10514" width="17" style="359" bestFit="1" customWidth="1"/>
    <col min="10515" max="10522" width="6.7109375" style="359" customWidth="1"/>
    <col min="10523" max="10752" width="8.7109375" style="359"/>
    <col min="10753" max="10753" width="47.5703125" style="359" customWidth="1"/>
    <col min="10754" max="10754" width="14.5703125" style="359" customWidth="1"/>
    <col min="10755" max="10755" width="8.7109375" style="359"/>
    <col min="10756" max="10756" width="11.42578125" style="359" customWidth="1"/>
    <col min="10757" max="10757" width="9.42578125" style="359" customWidth="1"/>
    <col min="10758" max="10758" width="9.7109375" style="359" bestFit="1" customWidth="1"/>
    <col min="10759" max="10759" width="12.5703125" style="359" customWidth="1"/>
    <col min="10760" max="10760" width="23.7109375" style="359" customWidth="1"/>
    <col min="10761" max="10761" width="9.5703125" style="359" customWidth="1"/>
    <col min="10762" max="10762" width="9.85546875" style="359" customWidth="1"/>
    <col min="10763" max="10763" width="15.7109375" style="359" customWidth="1"/>
    <col min="10764" max="10764" width="11.28515625" style="359" bestFit="1" customWidth="1"/>
    <col min="10765" max="10765" width="12.140625" style="359" customWidth="1"/>
    <col min="10766" max="10766" width="9.7109375" style="359" customWidth="1"/>
    <col min="10767" max="10767" width="31.85546875" style="359" customWidth="1"/>
    <col min="10768" max="10768" width="16.7109375" style="359" customWidth="1"/>
    <col min="10769" max="10769" width="9.7109375" style="359" customWidth="1"/>
    <col min="10770" max="10770" width="17" style="359" bestFit="1" customWidth="1"/>
    <col min="10771" max="10778" width="6.7109375" style="359" customWidth="1"/>
    <col min="10779" max="11008" width="8.7109375" style="359"/>
    <col min="11009" max="11009" width="47.5703125" style="359" customWidth="1"/>
    <col min="11010" max="11010" width="14.5703125" style="359" customWidth="1"/>
    <col min="11011" max="11011" width="8.7109375" style="359"/>
    <col min="11012" max="11012" width="11.42578125" style="359" customWidth="1"/>
    <col min="11013" max="11013" width="9.42578125" style="359" customWidth="1"/>
    <col min="11014" max="11014" width="9.7109375" style="359" bestFit="1" customWidth="1"/>
    <col min="11015" max="11015" width="12.5703125" style="359" customWidth="1"/>
    <col min="11016" max="11016" width="23.7109375" style="359" customWidth="1"/>
    <col min="11017" max="11017" width="9.5703125" style="359" customWidth="1"/>
    <col min="11018" max="11018" width="9.85546875" style="359" customWidth="1"/>
    <col min="11019" max="11019" width="15.7109375" style="359" customWidth="1"/>
    <col min="11020" max="11020" width="11.28515625" style="359" bestFit="1" customWidth="1"/>
    <col min="11021" max="11021" width="12.140625" style="359" customWidth="1"/>
    <col min="11022" max="11022" width="9.7109375" style="359" customWidth="1"/>
    <col min="11023" max="11023" width="31.85546875" style="359" customWidth="1"/>
    <col min="11024" max="11024" width="16.7109375" style="359" customWidth="1"/>
    <col min="11025" max="11025" width="9.7109375" style="359" customWidth="1"/>
    <col min="11026" max="11026" width="17" style="359" bestFit="1" customWidth="1"/>
    <col min="11027" max="11034" width="6.7109375" style="359" customWidth="1"/>
    <col min="11035" max="11264" width="8.7109375" style="359"/>
    <col min="11265" max="11265" width="47.5703125" style="359" customWidth="1"/>
    <col min="11266" max="11266" width="14.5703125" style="359" customWidth="1"/>
    <col min="11267" max="11267" width="8.7109375" style="359"/>
    <col min="11268" max="11268" width="11.42578125" style="359" customWidth="1"/>
    <col min="11269" max="11269" width="9.42578125" style="359" customWidth="1"/>
    <col min="11270" max="11270" width="9.7109375" style="359" bestFit="1" customWidth="1"/>
    <col min="11271" max="11271" width="12.5703125" style="359" customWidth="1"/>
    <col min="11272" max="11272" width="23.7109375" style="359" customWidth="1"/>
    <col min="11273" max="11273" width="9.5703125" style="359" customWidth="1"/>
    <col min="11274" max="11274" width="9.85546875" style="359" customWidth="1"/>
    <col min="11275" max="11275" width="15.7109375" style="359" customWidth="1"/>
    <col min="11276" max="11276" width="11.28515625" style="359" bestFit="1" customWidth="1"/>
    <col min="11277" max="11277" width="12.140625" style="359" customWidth="1"/>
    <col min="11278" max="11278" width="9.7109375" style="359" customWidth="1"/>
    <col min="11279" max="11279" width="31.85546875" style="359" customWidth="1"/>
    <col min="11280" max="11280" width="16.7109375" style="359" customWidth="1"/>
    <col min="11281" max="11281" width="9.7109375" style="359" customWidth="1"/>
    <col min="11282" max="11282" width="17" style="359" bestFit="1" customWidth="1"/>
    <col min="11283" max="11290" width="6.7109375" style="359" customWidth="1"/>
    <col min="11291" max="11520" width="8.7109375" style="359"/>
    <col min="11521" max="11521" width="47.5703125" style="359" customWidth="1"/>
    <col min="11522" max="11522" width="14.5703125" style="359" customWidth="1"/>
    <col min="11523" max="11523" width="8.7109375" style="359"/>
    <col min="11524" max="11524" width="11.42578125" style="359" customWidth="1"/>
    <col min="11525" max="11525" width="9.42578125" style="359" customWidth="1"/>
    <col min="11526" max="11526" width="9.7109375" style="359" bestFit="1" customWidth="1"/>
    <col min="11527" max="11527" width="12.5703125" style="359" customWidth="1"/>
    <col min="11528" max="11528" width="23.7109375" style="359" customWidth="1"/>
    <col min="11529" max="11529" width="9.5703125" style="359" customWidth="1"/>
    <col min="11530" max="11530" width="9.85546875" style="359" customWidth="1"/>
    <col min="11531" max="11531" width="15.7109375" style="359" customWidth="1"/>
    <col min="11532" max="11532" width="11.28515625" style="359" bestFit="1" customWidth="1"/>
    <col min="11533" max="11533" width="12.140625" style="359" customWidth="1"/>
    <col min="11534" max="11534" width="9.7109375" style="359" customWidth="1"/>
    <col min="11535" max="11535" width="31.85546875" style="359" customWidth="1"/>
    <col min="11536" max="11536" width="16.7109375" style="359" customWidth="1"/>
    <col min="11537" max="11537" width="9.7109375" style="359" customWidth="1"/>
    <col min="11538" max="11538" width="17" style="359" bestFit="1" customWidth="1"/>
    <col min="11539" max="11546" width="6.7109375" style="359" customWidth="1"/>
    <col min="11547" max="11776" width="8.7109375" style="359"/>
    <col min="11777" max="11777" width="47.5703125" style="359" customWidth="1"/>
    <col min="11778" max="11778" width="14.5703125" style="359" customWidth="1"/>
    <col min="11779" max="11779" width="8.7109375" style="359"/>
    <col min="11780" max="11780" width="11.42578125" style="359" customWidth="1"/>
    <col min="11781" max="11781" width="9.42578125" style="359" customWidth="1"/>
    <col min="11782" max="11782" width="9.7109375" style="359" bestFit="1" customWidth="1"/>
    <col min="11783" max="11783" width="12.5703125" style="359" customWidth="1"/>
    <col min="11784" max="11784" width="23.7109375" style="359" customWidth="1"/>
    <col min="11785" max="11785" width="9.5703125" style="359" customWidth="1"/>
    <col min="11786" max="11786" width="9.85546875" style="359" customWidth="1"/>
    <col min="11787" max="11787" width="15.7109375" style="359" customWidth="1"/>
    <col min="11788" max="11788" width="11.28515625" style="359" bestFit="1" customWidth="1"/>
    <col min="11789" max="11789" width="12.140625" style="359" customWidth="1"/>
    <col min="11790" max="11790" width="9.7109375" style="359" customWidth="1"/>
    <col min="11791" max="11791" width="31.85546875" style="359" customWidth="1"/>
    <col min="11792" max="11792" width="16.7109375" style="359" customWidth="1"/>
    <col min="11793" max="11793" width="9.7109375" style="359" customWidth="1"/>
    <col min="11794" max="11794" width="17" style="359" bestFit="1" customWidth="1"/>
    <col min="11795" max="11802" width="6.7109375" style="359" customWidth="1"/>
    <col min="11803" max="12032" width="8.7109375" style="359"/>
    <col min="12033" max="12033" width="47.5703125" style="359" customWidth="1"/>
    <col min="12034" max="12034" width="14.5703125" style="359" customWidth="1"/>
    <col min="12035" max="12035" width="8.7109375" style="359"/>
    <col min="12036" max="12036" width="11.42578125" style="359" customWidth="1"/>
    <col min="12037" max="12037" width="9.42578125" style="359" customWidth="1"/>
    <col min="12038" max="12038" width="9.7109375" style="359" bestFit="1" customWidth="1"/>
    <col min="12039" max="12039" width="12.5703125" style="359" customWidth="1"/>
    <col min="12040" max="12040" width="23.7109375" style="359" customWidth="1"/>
    <col min="12041" max="12041" width="9.5703125" style="359" customWidth="1"/>
    <col min="12042" max="12042" width="9.85546875" style="359" customWidth="1"/>
    <col min="12043" max="12043" width="15.7109375" style="359" customWidth="1"/>
    <col min="12044" max="12044" width="11.28515625" style="359" bestFit="1" customWidth="1"/>
    <col min="12045" max="12045" width="12.140625" style="359" customWidth="1"/>
    <col min="12046" max="12046" width="9.7109375" style="359" customWidth="1"/>
    <col min="12047" max="12047" width="31.85546875" style="359" customWidth="1"/>
    <col min="12048" max="12048" width="16.7109375" style="359" customWidth="1"/>
    <col min="12049" max="12049" width="9.7109375" style="359" customWidth="1"/>
    <col min="12050" max="12050" width="17" style="359" bestFit="1" customWidth="1"/>
    <col min="12051" max="12058" width="6.7109375" style="359" customWidth="1"/>
    <col min="12059" max="12288" width="8.7109375" style="359"/>
    <col min="12289" max="12289" width="47.5703125" style="359" customWidth="1"/>
    <col min="12290" max="12290" width="14.5703125" style="359" customWidth="1"/>
    <col min="12291" max="12291" width="8.7109375" style="359"/>
    <col min="12292" max="12292" width="11.42578125" style="359" customWidth="1"/>
    <col min="12293" max="12293" width="9.42578125" style="359" customWidth="1"/>
    <col min="12294" max="12294" width="9.7109375" style="359" bestFit="1" customWidth="1"/>
    <col min="12295" max="12295" width="12.5703125" style="359" customWidth="1"/>
    <col min="12296" max="12296" width="23.7109375" style="359" customWidth="1"/>
    <col min="12297" max="12297" width="9.5703125" style="359" customWidth="1"/>
    <col min="12298" max="12298" width="9.85546875" style="359" customWidth="1"/>
    <col min="12299" max="12299" width="15.7109375" style="359" customWidth="1"/>
    <col min="12300" max="12300" width="11.28515625" style="359" bestFit="1" customWidth="1"/>
    <col min="12301" max="12301" width="12.140625" style="359" customWidth="1"/>
    <col min="12302" max="12302" width="9.7109375" style="359" customWidth="1"/>
    <col min="12303" max="12303" width="31.85546875" style="359" customWidth="1"/>
    <col min="12304" max="12304" width="16.7109375" style="359" customWidth="1"/>
    <col min="12305" max="12305" width="9.7109375" style="359" customWidth="1"/>
    <col min="12306" max="12306" width="17" style="359" bestFit="1" customWidth="1"/>
    <col min="12307" max="12314" width="6.7109375" style="359" customWidth="1"/>
    <col min="12315" max="12544" width="8.7109375" style="359"/>
    <col min="12545" max="12545" width="47.5703125" style="359" customWidth="1"/>
    <col min="12546" max="12546" width="14.5703125" style="359" customWidth="1"/>
    <col min="12547" max="12547" width="8.7109375" style="359"/>
    <col min="12548" max="12548" width="11.42578125" style="359" customWidth="1"/>
    <col min="12549" max="12549" width="9.42578125" style="359" customWidth="1"/>
    <col min="12550" max="12550" width="9.7109375" style="359" bestFit="1" customWidth="1"/>
    <col min="12551" max="12551" width="12.5703125" style="359" customWidth="1"/>
    <col min="12552" max="12552" width="23.7109375" style="359" customWidth="1"/>
    <col min="12553" max="12553" width="9.5703125" style="359" customWidth="1"/>
    <col min="12554" max="12554" width="9.85546875" style="359" customWidth="1"/>
    <col min="12555" max="12555" width="15.7109375" style="359" customWidth="1"/>
    <col min="12556" max="12556" width="11.28515625" style="359" bestFit="1" customWidth="1"/>
    <col min="12557" max="12557" width="12.140625" style="359" customWidth="1"/>
    <col min="12558" max="12558" width="9.7109375" style="359" customWidth="1"/>
    <col min="12559" max="12559" width="31.85546875" style="359" customWidth="1"/>
    <col min="12560" max="12560" width="16.7109375" style="359" customWidth="1"/>
    <col min="12561" max="12561" width="9.7109375" style="359" customWidth="1"/>
    <col min="12562" max="12562" width="17" style="359" bestFit="1" customWidth="1"/>
    <col min="12563" max="12570" width="6.7109375" style="359" customWidth="1"/>
    <col min="12571" max="12800" width="8.7109375" style="359"/>
    <col min="12801" max="12801" width="47.5703125" style="359" customWidth="1"/>
    <col min="12802" max="12802" width="14.5703125" style="359" customWidth="1"/>
    <col min="12803" max="12803" width="8.7109375" style="359"/>
    <col min="12804" max="12804" width="11.42578125" style="359" customWidth="1"/>
    <col min="12805" max="12805" width="9.42578125" style="359" customWidth="1"/>
    <col min="12806" max="12806" width="9.7109375" style="359" bestFit="1" customWidth="1"/>
    <col min="12807" max="12807" width="12.5703125" style="359" customWidth="1"/>
    <col min="12808" max="12808" width="23.7109375" style="359" customWidth="1"/>
    <col min="12809" max="12809" width="9.5703125" style="359" customWidth="1"/>
    <col min="12810" max="12810" width="9.85546875" style="359" customWidth="1"/>
    <col min="12811" max="12811" width="15.7109375" style="359" customWidth="1"/>
    <col min="12812" max="12812" width="11.28515625" style="359" bestFit="1" customWidth="1"/>
    <col min="12813" max="12813" width="12.140625" style="359" customWidth="1"/>
    <col min="12814" max="12814" width="9.7109375" style="359" customWidth="1"/>
    <col min="12815" max="12815" width="31.85546875" style="359" customWidth="1"/>
    <col min="12816" max="12816" width="16.7109375" style="359" customWidth="1"/>
    <col min="12817" max="12817" width="9.7109375" style="359" customWidth="1"/>
    <col min="12818" max="12818" width="17" style="359" bestFit="1" customWidth="1"/>
    <col min="12819" max="12826" width="6.7109375" style="359" customWidth="1"/>
    <col min="12827" max="13056" width="8.7109375" style="359"/>
    <col min="13057" max="13057" width="47.5703125" style="359" customWidth="1"/>
    <col min="13058" max="13058" width="14.5703125" style="359" customWidth="1"/>
    <col min="13059" max="13059" width="8.7109375" style="359"/>
    <col min="13060" max="13060" width="11.42578125" style="359" customWidth="1"/>
    <col min="13061" max="13061" width="9.42578125" style="359" customWidth="1"/>
    <col min="13062" max="13062" width="9.7109375" style="359" bestFit="1" customWidth="1"/>
    <col min="13063" max="13063" width="12.5703125" style="359" customWidth="1"/>
    <col min="13064" max="13064" width="23.7109375" style="359" customWidth="1"/>
    <col min="13065" max="13065" width="9.5703125" style="359" customWidth="1"/>
    <col min="13066" max="13066" width="9.85546875" style="359" customWidth="1"/>
    <col min="13067" max="13067" width="15.7109375" style="359" customWidth="1"/>
    <col min="13068" max="13068" width="11.28515625" style="359" bestFit="1" customWidth="1"/>
    <col min="13069" max="13069" width="12.140625" style="359" customWidth="1"/>
    <col min="13070" max="13070" width="9.7109375" style="359" customWidth="1"/>
    <col min="13071" max="13071" width="31.85546875" style="359" customWidth="1"/>
    <col min="13072" max="13072" width="16.7109375" style="359" customWidth="1"/>
    <col min="13073" max="13073" width="9.7109375" style="359" customWidth="1"/>
    <col min="13074" max="13074" width="17" style="359" bestFit="1" customWidth="1"/>
    <col min="13075" max="13082" width="6.7109375" style="359" customWidth="1"/>
    <col min="13083" max="13312" width="8.7109375" style="359"/>
    <col min="13313" max="13313" width="47.5703125" style="359" customWidth="1"/>
    <col min="13314" max="13314" width="14.5703125" style="359" customWidth="1"/>
    <col min="13315" max="13315" width="8.7109375" style="359"/>
    <col min="13316" max="13316" width="11.42578125" style="359" customWidth="1"/>
    <col min="13317" max="13317" width="9.42578125" style="359" customWidth="1"/>
    <col min="13318" max="13318" width="9.7109375" style="359" bestFit="1" customWidth="1"/>
    <col min="13319" max="13319" width="12.5703125" style="359" customWidth="1"/>
    <col min="13320" max="13320" width="23.7109375" style="359" customWidth="1"/>
    <col min="13321" max="13321" width="9.5703125" style="359" customWidth="1"/>
    <col min="13322" max="13322" width="9.85546875" style="359" customWidth="1"/>
    <col min="13323" max="13323" width="15.7109375" style="359" customWidth="1"/>
    <col min="13324" max="13324" width="11.28515625" style="359" bestFit="1" customWidth="1"/>
    <col min="13325" max="13325" width="12.140625" style="359" customWidth="1"/>
    <col min="13326" max="13326" width="9.7109375" style="359" customWidth="1"/>
    <col min="13327" max="13327" width="31.85546875" style="359" customWidth="1"/>
    <col min="13328" max="13328" width="16.7109375" style="359" customWidth="1"/>
    <col min="13329" max="13329" width="9.7109375" style="359" customWidth="1"/>
    <col min="13330" max="13330" width="17" style="359" bestFit="1" customWidth="1"/>
    <col min="13331" max="13338" width="6.7109375" style="359" customWidth="1"/>
    <col min="13339" max="13568" width="8.7109375" style="359"/>
    <col min="13569" max="13569" width="47.5703125" style="359" customWidth="1"/>
    <col min="13570" max="13570" width="14.5703125" style="359" customWidth="1"/>
    <col min="13571" max="13571" width="8.7109375" style="359"/>
    <col min="13572" max="13572" width="11.42578125" style="359" customWidth="1"/>
    <col min="13573" max="13573" width="9.42578125" style="359" customWidth="1"/>
    <col min="13574" max="13574" width="9.7109375" style="359" bestFit="1" customWidth="1"/>
    <col min="13575" max="13575" width="12.5703125" style="359" customWidth="1"/>
    <col min="13576" max="13576" width="23.7109375" style="359" customWidth="1"/>
    <col min="13577" max="13577" width="9.5703125" style="359" customWidth="1"/>
    <col min="13578" max="13578" width="9.85546875" style="359" customWidth="1"/>
    <col min="13579" max="13579" width="15.7109375" style="359" customWidth="1"/>
    <col min="13580" max="13580" width="11.28515625" style="359" bestFit="1" customWidth="1"/>
    <col min="13581" max="13581" width="12.140625" style="359" customWidth="1"/>
    <col min="13582" max="13582" width="9.7109375" style="359" customWidth="1"/>
    <col min="13583" max="13583" width="31.85546875" style="359" customWidth="1"/>
    <col min="13584" max="13584" width="16.7109375" style="359" customWidth="1"/>
    <col min="13585" max="13585" width="9.7109375" style="359" customWidth="1"/>
    <col min="13586" max="13586" width="17" style="359" bestFit="1" customWidth="1"/>
    <col min="13587" max="13594" width="6.7109375" style="359" customWidth="1"/>
    <col min="13595" max="13824" width="8.7109375" style="359"/>
    <col min="13825" max="13825" width="47.5703125" style="359" customWidth="1"/>
    <col min="13826" max="13826" width="14.5703125" style="359" customWidth="1"/>
    <col min="13827" max="13827" width="8.7109375" style="359"/>
    <col min="13828" max="13828" width="11.42578125" style="359" customWidth="1"/>
    <col min="13829" max="13829" width="9.42578125" style="359" customWidth="1"/>
    <col min="13830" max="13830" width="9.7109375" style="359" bestFit="1" customWidth="1"/>
    <col min="13831" max="13831" width="12.5703125" style="359" customWidth="1"/>
    <col min="13832" max="13832" width="23.7109375" style="359" customWidth="1"/>
    <col min="13833" max="13833" width="9.5703125" style="359" customWidth="1"/>
    <col min="13834" max="13834" width="9.85546875" style="359" customWidth="1"/>
    <col min="13835" max="13835" width="15.7109375" style="359" customWidth="1"/>
    <col min="13836" max="13836" width="11.28515625" style="359" bestFit="1" customWidth="1"/>
    <col min="13837" max="13837" width="12.140625" style="359" customWidth="1"/>
    <col min="13838" max="13838" width="9.7109375" style="359" customWidth="1"/>
    <col min="13839" max="13839" width="31.85546875" style="359" customWidth="1"/>
    <col min="13840" max="13840" width="16.7109375" style="359" customWidth="1"/>
    <col min="13841" max="13841" width="9.7109375" style="359" customWidth="1"/>
    <col min="13842" max="13842" width="17" style="359" bestFit="1" customWidth="1"/>
    <col min="13843" max="13850" width="6.7109375" style="359" customWidth="1"/>
    <col min="13851" max="14080" width="8.7109375" style="359"/>
    <col min="14081" max="14081" width="47.5703125" style="359" customWidth="1"/>
    <col min="14082" max="14082" width="14.5703125" style="359" customWidth="1"/>
    <col min="14083" max="14083" width="8.7109375" style="359"/>
    <col min="14084" max="14084" width="11.42578125" style="359" customWidth="1"/>
    <col min="14085" max="14085" width="9.42578125" style="359" customWidth="1"/>
    <col min="14086" max="14086" width="9.7109375" style="359" bestFit="1" customWidth="1"/>
    <col min="14087" max="14087" width="12.5703125" style="359" customWidth="1"/>
    <col min="14088" max="14088" width="23.7109375" style="359" customWidth="1"/>
    <col min="14089" max="14089" width="9.5703125" style="359" customWidth="1"/>
    <col min="14090" max="14090" width="9.85546875" style="359" customWidth="1"/>
    <col min="14091" max="14091" width="15.7109375" style="359" customWidth="1"/>
    <col min="14092" max="14092" width="11.28515625" style="359" bestFit="1" customWidth="1"/>
    <col min="14093" max="14093" width="12.140625" style="359" customWidth="1"/>
    <col min="14094" max="14094" width="9.7109375" style="359" customWidth="1"/>
    <col min="14095" max="14095" width="31.85546875" style="359" customWidth="1"/>
    <col min="14096" max="14096" width="16.7109375" style="359" customWidth="1"/>
    <col min="14097" max="14097" width="9.7109375" style="359" customWidth="1"/>
    <col min="14098" max="14098" width="17" style="359" bestFit="1" customWidth="1"/>
    <col min="14099" max="14106" width="6.7109375" style="359" customWidth="1"/>
    <col min="14107" max="14336" width="8.7109375" style="359"/>
    <col min="14337" max="14337" width="47.5703125" style="359" customWidth="1"/>
    <col min="14338" max="14338" width="14.5703125" style="359" customWidth="1"/>
    <col min="14339" max="14339" width="8.7109375" style="359"/>
    <col min="14340" max="14340" width="11.42578125" style="359" customWidth="1"/>
    <col min="14341" max="14341" width="9.42578125" style="359" customWidth="1"/>
    <col min="14342" max="14342" width="9.7109375" style="359" bestFit="1" customWidth="1"/>
    <col min="14343" max="14343" width="12.5703125" style="359" customWidth="1"/>
    <col min="14344" max="14344" width="23.7109375" style="359" customWidth="1"/>
    <col min="14345" max="14345" width="9.5703125" style="359" customWidth="1"/>
    <col min="14346" max="14346" width="9.85546875" style="359" customWidth="1"/>
    <col min="14347" max="14347" width="15.7109375" style="359" customWidth="1"/>
    <col min="14348" max="14348" width="11.28515625" style="359" bestFit="1" customWidth="1"/>
    <col min="14349" max="14349" width="12.140625" style="359" customWidth="1"/>
    <col min="14350" max="14350" width="9.7109375" style="359" customWidth="1"/>
    <col min="14351" max="14351" width="31.85546875" style="359" customWidth="1"/>
    <col min="14352" max="14352" width="16.7109375" style="359" customWidth="1"/>
    <col min="14353" max="14353" width="9.7109375" style="359" customWidth="1"/>
    <col min="14354" max="14354" width="17" style="359" bestFit="1" customWidth="1"/>
    <col min="14355" max="14362" width="6.7109375" style="359" customWidth="1"/>
    <col min="14363" max="14592" width="8.7109375" style="359"/>
    <col min="14593" max="14593" width="47.5703125" style="359" customWidth="1"/>
    <col min="14594" max="14594" width="14.5703125" style="359" customWidth="1"/>
    <col min="14595" max="14595" width="8.7109375" style="359"/>
    <col min="14596" max="14596" width="11.42578125" style="359" customWidth="1"/>
    <col min="14597" max="14597" width="9.42578125" style="359" customWidth="1"/>
    <col min="14598" max="14598" width="9.7109375" style="359" bestFit="1" customWidth="1"/>
    <col min="14599" max="14599" width="12.5703125" style="359" customWidth="1"/>
    <col min="14600" max="14600" width="23.7109375" style="359" customWidth="1"/>
    <col min="14601" max="14601" width="9.5703125" style="359" customWidth="1"/>
    <col min="14602" max="14602" width="9.85546875" style="359" customWidth="1"/>
    <col min="14603" max="14603" width="15.7109375" style="359" customWidth="1"/>
    <col min="14604" max="14604" width="11.28515625" style="359" bestFit="1" customWidth="1"/>
    <col min="14605" max="14605" width="12.140625" style="359" customWidth="1"/>
    <col min="14606" max="14606" width="9.7109375" style="359" customWidth="1"/>
    <col min="14607" max="14607" width="31.85546875" style="359" customWidth="1"/>
    <col min="14608" max="14608" width="16.7109375" style="359" customWidth="1"/>
    <col min="14609" max="14609" width="9.7109375" style="359" customWidth="1"/>
    <col min="14610" max="14610" width="17" style="359" bestFit="1" customWidth="1"/>
    <col min="14611" max="14618" width="6.7109375" style="359" customWidth="1"/>
    <col min="14619" max="14848" width="8.7109375" style="359"/>
    <col min="14849" max="14849" width="47.5703125" style="359" customWidth="1"/>
    <col min="14850" max="14850" width="14.5703125" style="359" customWidth="1"/>
    <col min="14851" max="14851" width="8.7109375" style="359"/>
    <col min="14852" max="14852" width="11.42578125" style="359" customWidth="1"/>
    <col min="14853" max="14853" width="9.42578125" style="359" customWidth="1"/>
    <col min="14854" max="14854" width="9.7109375" style="359" bestFit="1" customWidth="1"/>
    <col min="14855" max="14855" width="12.5703125" style="359" customWidth="1"/>
    <col min="14856" max="14856" width="23.7109375" style="359" customWidth="1"/>
    <col min="14857" max="14857" width="9.5703125" style="359" customWidth="1"/>
    <col min="14858" max="14858" width="9.85546875" style="359" customWidth="1"/>
    <col min="14859" max="14859" width="15.7109375" style="359" customWidth="1"/>
    <col min="14860" max="14860" width="11.28515625" style="359" bestFit="1" customWidth="1"/>
    <col min="14861" max="14861" width="12.140625" style="359" customWidth="1"/>
    <col min="14862" max="14862" width="9.7109375" style="359" customWidth="1"/>
    <col min="14863" max="14863" width="31.85546875" style="359" customWidth="1"/>
    <col min="14864" max="14864" width="16.7109375" style="359" customWidth="1"/>
    <col min="14865" max="14865" width="9.7109375" style="359" customWidth="1"/>
    <col min="14866" max="14866" width="17" style="359" bestFit="1" customWidth="1"/>
    <col min="14867" max="14874" width="6.7109375" style="359" customWidth="1"/>
    <col min="14875" max="15104" width="8.7109375" style="359"/>
    <col min="15105" max="15105" width="47.5703125" style="359" customWidth="1"/>
    <col min="15106" max="15106" width="14.5703125" style="359" customWidth="1"/>
    <col min="15107" max="15107" width="8.7109375" style="359"/>
    <col min="15108" max="15108" width="11.42578125" style="359" customWidth="1"/>
    <col min="15109" max="15109" width="9.42578125" style="359" customWidth="1"/>
    <col min="15110" max="15110" width="9.7109375" style="359" bestFit="1" customWidth="1"/>
    <col min="15111" max="15111" width="12.5703125" style="359" customWidth="1"/>
    <col min="15112" max="15112" width="23.7109375" style="359" customWidth="1"/>
    <col min="15113" max="15113" width="9.5703125" style="359" customWidth="1"/>
    <col min="15114" max="15114" width="9.85546875" style="359" customWidth="1"/>
    <col min="15115" max="15115" width="15.7109375" style="359" customWidth="1"/>
    <col min="15116" max="15116" width="11.28515625" style="359" bestFit="1" customWidth="1"/>
    <col min="15117" max="15117" width="12.140625" style="359" customWidth="1"/>
    <col min="15118" max="15118" width="9.7109375" style="359" customWidth="1"/>
    <col min="15119" max="15119" width="31.85546875" style="359" customWidth="1"/>
    <col min="15120" max="15120" width="16.7109375" style="359" customWidth="1"/>
    <col min="15121" max="15121" width="9.7109375" style="359" customWidth="1"/>
    <col min="15122" max="15122" width="17" style="359" bestFit="1" customWidth="1"/>
    <col min="15123" max="15130" width="6.7109375" style="359" customWidth="1"/>
    <col min="15131" max="15360" width="8.7109375" style="359"/>
    <col min="15361" max="15361" width="47.5703125" style="359" customWidth="1"/>
    <col min="15362" max="15362" width="14.5703125" style="359" customWidth="1"/>
    <col min="15363" max="15363" width="8.7109375" style="359"/>
    <col min="15364" max="15364" width="11.42578125" style="359" customWidth="1"/>
    <col min="15365" max="15365" width="9.42578125" style="359" customWidth="1"/>
    <col min="15366" max="15366" width="9.7109375" style="359" bestFit="1" customWidth="1"/>
    <col min="15367" max="15367" width="12.5703125" style="359" customWidth="1"/>
    <col min="15368" max="15368" width="23.7109375" style="359" customWidth="1"/>
    <col min="15369" max="15369" width="9.5703125" style="359" customWidth="1"/>
    <col min="15370" max="15370" width="9.85546875" style="359" customWidth="1"/>
    <col min="15371" max="15371" width="15.7109375" style="359" customWidth="1"/>
    <col min="15372" max="15372" width="11.28515625" style="359" bestFit="1" customWidth="1"/>
    <col min="15373" max="15373" width="12.140625" style="359" customWidth="1"/>
    <col min="15374" max="15374" width="9.7109375" style="359" customWidth="1"/>
    <col min="15375" max="15375" width="31.85546875" style="359" customWidth="1"/>
    <col min="15376" max="15376" width="16.7109375" style="359" customWidth="1"/>
    <col min="15377" max="15377" width="9.7109375" style="359" customWidth="1"/>
    <col min="15378" max="15378" width="17" style="359" bestFit="1" customWidth="1"/>
    <col min="15379" max="15386" width="6.7109375" style="359" customWidth="1"/>
    <col min="15387" max="15616" width="8.7109375" style="359"/>
    <col min="15617" max="15617" width="47.5703125" style="359" customWidth="1"/>
    <col min="15618" max="15618" width="14.5703125" style="359" customWidth="1"/>
    <col min="15619" max="15619" width="8.7109375" style="359"/>
    <col min="15620" max="15620" width="11.42578125" style="359" customWidth="1"/>
    <col min="15621" max="15621" width="9.42578125" style="359" customWidth="1"/>
    <col min="15622" max="15622" width="9.7109375" style="359" bestFit="1" customWidth="1"/>
    <col min="15623" max="15623" width="12.5703125" style="359" customWidth="1"/>
    <col min="15624" max="15624" width="23.7109375" style="359" customWidth="1"/>
    <col min="15625" max="15625" width="9.5703125" style="359" customWidth="1"/>
    <col min="15626" max="15626" width="9.85546875" style="359" customWidth="1"/>
    <col min="15627" max="15627" width="15.7109375" style="359" customWidth="1"/>
    <col min="15628" max="15628" width="11.28515625" style="359" bestFit="1" customWidth="1"/>
    <col min="15629" max="15629" width="12.140625" style="359" customWidth="1"/>
    <col min="15630" max="15630" width="9.7109375" style="359" customWidth="1"/>
    <col min="15631" max="15631" width="31.85546875" style="359" customWidth="1"/>
    <col min="15632" max="15632" width="16.7109375" style="359" customWidth="1"/>
    <col min="15633" max="15633" width="9.7109375" style="359" customWidth="1"/>
    <col min="15634" max="15634" width="17" style="359" bestFit="1" customWidth="1"/>
    <col min="15635" max="15642" width="6.7109375" style="359" customWidth="1"/>
    <col min="15643" max="15872" width="8.7109375" style="359"/>
    <col min="15873" max="15873" width="47.5703125" style="359" customWidth="1"/>
    <col min="15874" max="15874" width="14.5703125" style="359" customWidth="1"/>
    <col min="15875" max="15875" width="8.7109375" style="359"/>
    <col min="15876" max="15876" width="11.42578125" style="359" customWidth="1"/>
    <col min="15877" max="15877" width="9.42578125" style="359" customWidth="1"/>
    <col min="15878" max="15878" width="9.7109375" style="359" bestFit="1" customWidth="1"/>
    <col min="15879" max="15879" width="12.5703125" style="359" customWidth="1"/>
    <col min="15880" max="15880" width="23.7109375" style="359" customWidth="1"/>
    <col min="15881" max="15881" width="9.5703125" style="359" customWidth="1"/>
    <col min="15882" max="15882" width="9.85546875" style="359" customWidth="1"/>
    <col min="15883" max="15883" width="15.7109375" style="359" customWidth="1"/>
    <col min="15884" max="15884" width="11.28515625" style="359" bestFit="1" customWidth="1"/>
    <col min="15885" max="15885" width="12.140625" style="359" customWidth="1"/>
    <col min="15886" max="15886" width="9.7109375" style="359" customWidth="1"/>
    <col min="15887" max="15887" width="31.85546875" style="359" customWidth="1"/>
    <col min="15888" max="15888" width="16.7109375" style="359" customWidth="1"/>
    <col min="15889" max="15889" width="9.7109375" style="359" customWidth="1"/>
    <col min="15890" max="15890" width="17" style="359" bestFit="1" customWidth="1"/>
    <col min="15891" max="15898" width="6.7109375" style="359" customWidth="1"/>
    <col min="15899" max="16128" width="8.7109375" style="359"/>
    <col min="16129" max="16129" width="47.5703125" style="359" customWidth="1"/>
    <col min="16130" max="16130" width="14.5703125" style="359" customWidth="1"/>
    <col min="16131" max="16131" width="8.7109375" style="359"/>
    <col min="16132" max="16132" width="11.42578125" style="359" customWidth="1"/>
    <col min="16133" max="16133" width="9.42578125" style="359" customWidth="1"/>
    <col min="16134" max="16134" width="9.7109375" style="359" bestFit="1" customWidth="1"/>
    <col min="16135" max="16135" width="12.5703125" style="359" customWidth="1"/>
    <col min="16136" max="16136" width="23.7109375" style="359" customWidth="1"/>
    <col min="16137" max="16137" width="9.5703125" style="359" customWidth="1"/>
    <col min="16138" max="16138" width="9.85546875" style="359" customWidth="1"/>
    <col min="16139" max="16139" width="15.7109375" style="359" customWidth="1"/>
    <col min="16140" max="16140" width="11.28515625" style="359" bestFit="1" customWidth="1"/>
    <col min="16141" max="16141" width="12.140625" style="359" customWidth="1"/>
    <col min="16142" max="16142" width="9.7109375" style="359" customWidth="1"/>
    <col min="16143" max="16143" width="31.85546875" style="359" customWidth="1"/>
    <col min="16144" max="16144" width="16.7109375" style="359" customWidth="1"/>
    <col min="16145" max="16145" width="9.7109375" style="359" customWidth="1"/>
    <col min="16146" max="16146" width="17" style="359" bestFit="1" customWidth="1"/>
    <col min="16147" max="16154" width="6.7109375" style="359" customWidth="1"/>
    <col min="16155" max="16384" width="8.7109375" style="359"/>
  </cols>
  <sheetData>
    <row r="1" spans="1:16" ht="24.95" customHeight="1">
      <c r="A1" s="357" t="s">
        <v>0</v>
      </c>
      <c r="B1" s="357">
        <v>2</v>
      </c>
      <c r="C1" s="358" t="s">
        <v>144</v>
      </c>
      <c r="H1" s="360" t="s">
        <v>1</v>
      </c>
      <c r="I1" s="361"/>
      <c r="J1" s="362"/>
      <c r="K1" s="362"/>
      <c r="L1" s="362"/>
      <c r="M1" s="362"/>
      <c r="N1" s="362"/>
    </row>
    <row r="2" spans="1:16" ht="15" customHeight="1">
      <c r="A2" s="363"/>
      <c r="B2" s="364" t="s">
        <v>2</v>
      </c>
      <c r="C2" s="365"/>
      <c r="D2" s="366" t="s">
        <v>3</v>
      </c>
      <c r="E2" s="367"/>
      <c r="F2" s="368" t="s">
        <v>4</v>
      </c>
      <c r="H2" s="362"/>
      <c r="I2" s="362"/>
      <c r="J2" s="362"/>
      <c r="K2" s="362"/>
      <c r="L2" s="362"/>
      <c r="M2" s="362"/>
      <c r="N2" s="362"/>
    </row>
    <row r="3" spans="1:16" ht="15" customHeight="1">
      <c r="A3" s="369" t="s">
        <v>5</v>
      </c>
      <c r="B3" s="370">
        <f>62431.9984675781+70116.9033597104</f>
        <v>132548.9018272885</v>
      </c>
      <c r="C3" s="371">
        <f>SUM(C4:C5)</f>
        <v>1</v>
      </c>
      <c r="D3" s="372" t="e">
        <f>SUM(D4:D5)</f>
        <v>#VALUE!</v>
      </c>
      <c r="E3" s="373" t="e">
        <f>D3/$D$3</f>
        <v>#VALUE!</v>
      </c>
      <c r="F3" s="374" t="s">
        <v>6</v>
      </c>
      <c r="H3" s="369" t="s">
        <v>7</v>
      </c>
      <c r="I3" s="375">
        <v>0</v>
      </c>
      <c r="J3" s="376" t="s">
        <v>8</v>
      </c>
      <c r="K3" s="362"/>
      <c r="L3" s="377" t="s">
        <v>9</v>
      </c>
      <c r="M3" s="512">
        <v>0.47101105785793013</v>
      </c>
      <c r="N3" s="378">
        <f>M3*B3</f>
        <v>62431.998467578087</v>
      </c>
    </row>
    <row r="4" spans="1:16" ht="15" customHeight="1">
      <c r="A4" s="379" t="s">
        <v>10</v>
      </c>
      <c r="B4" s="380">
        <f>C4*B3</f>
        <v>113362.44744859995</v>
      </c>
      <c r="C4" s="381">
        <v>0.85524999366883825</v>
      </c>
      <c r="D4" s="382" t="e">
        <f>SUMIFS([18]Ram!G2:G982,[18]Ram!C2:C982,230,[18]Ram!F2:F982,"S")</f>
        <v>#VALUE!</v>
      </c>
      <c r="E4" s="383" t="e">
        <f>D4/$D$3</f>
        <v>#VALUE!</v>
      </c>
      <c r="F4" s="384" t="e">
        <f>B4/D4</f>
        <v>#VALUE!</v>
      </c>
      <c r="H4" s="362"/>
      <c r="I4" s="362"/>
      <c r="J4" s="362"/>
      <c r="K4" s="362"/>
      <c r="L4" s="377" t="s">
        <v>11</v>
      </c>
      <c r="M4" s="512">
        <v>0.52898894214206982</v>
      </c>
      <c r="N4" s="378">
        <f>M4*B3</f>
        <v>70116.903359710413</v>
      </c>
    </row>
    <row r="5" spans="1:16" ht="15" customHeight="1">
      <c r="A5" s="385" t="s">
        <v>12</v>
      </c>
      <c r="B5" s="386">
        <f>C5*B3</f>
        <v>19186.454378688548</v>
      </c>
      <c r="C5" s="387">
        <f>1-C4</f>
        <v>0.14475000633116175</v>
      </c>
      <c r="D5" s="388" t="e">
        <f>SUMIFS([18]Ram!G2:G982,[18]Ram!C2:C982,115,[18]Ram!F2:F982,"S")</f>
        <v>#VALUE!</v>
      </c>
      <c r="E5" s="389" t="e">
        <f>D5/$D$3</f>
        <v>#VALUE!</v>
      </c>
      <c r="F5" s="390" t="e">
        <f>B5/D5</f>
        <v>#VALUE!</v>
      </c>
      <c r="H5" s="362"/>
      <c r="I5" s="362"/>
      <c r="J5" s="362"/>
      <c r="K5" s="362"/>
      <c r="L5" s="362"/>
      <c r="M5" s="362"/>
      <c r="N5" s="362"/>
    </row>
    <row r="6" spans="1:16" ht="15" customHeight="1">
      <c r="A6" s="391"/>
      <c r="B6" s="391"/>
      <c r="C6" s="392"/>
      <c r="E6" s="393"/>
      <c r="H6" s="362"/>
      <c r="I6" s="362"/>
      <c r="J6" s="362"/>
      <c r="K6" s="362"/>
      <c r="L6" s="394" t="s">
        <v>13</v>
      </c>
      <c r="M6" s="395">
        <f>[18]ENERGIA!L17</f>
        <v>0</v>
      </c>
      <c r="N6" s="396" t="s">
        <v>14</v>
      </c>
      <c r="P6" s="513"/>
    </row>
    <row r="7" spans="1:16" ht="15" customHeight="1">
      <c r="A7" s="397" t="s">
        <v>15</v>
      </c>
      <c r="B7" s="370"/>
      <c r="C7" s="371">
        <v>1</v>
      </c>
      <c r="D7" s="398" t="e">
        <f>SUMIF([18]Ram!F3:F982,"SD",[18]Ram!G3:G982)</f>
        <v>#VALUE!</v>
      </c>
      <c r="E7" s="373">
        <v>1</v>
      </c>
      <c r="F7" s="399">
        <f>IF(B7&gt;0,B7/D7,0)</f>
        <v>0</v>
      </c>
      <c r="G7" s="359" t="s">
        <v>138</v>
      </c>
      <c r="H7" s="369" t="s">
        <v>16</v>
      </c>
      <c r="I7" s="375">
        <v>0</v>
      </c>
      <c r="J7" s="376" t="s">
        <v>8</v>
      </c>
      <c r="K7" s="362"/>
      <c r="L7" s="400" t="s">
        <v>17</v>
      </c>
      <c r="M7" s="401">
        <f>[18]ENERGIA!L2</f>
        <v>0</v>
      </c>
      <c r="N7" s="402" t="s">
        <v>14</v>
      </c>
      <c r="P7" s="513"/>
    </row>
    <row r="9" spans="1:16" ht="15" customHeight="1">
      <c r="A9" s="535" t="s">
        <v>18</v>
      </c>
      <c r="B9" s="535"/>
      <c r="C9" s="535"/>
      <c r="D9" s="535"/>
      <c r="E9" s="535"/>
      <c r="F9" s="535"/>
      <c r="G9" s="535"/>
      <c r="H9" s="535"/>
      <c r="I9" s="535"/>
      <c r="J9" s="535"/>
      <c r="K9" s="535"/>
      <c r="L9" s="535"/>
    </row>
    <row r="10" spans="1:16" ht="15" customHeight="1">
      <c r="A10" s="403" t="s">
        <v>19</v>
      </c>
      <c r="B10" s="404">
        <v>1</v>
      </c>
      <c r="C10" s="405">
        <v>2</v>
      </c>
      <c r="D10" s="405">
        <v>3</v>
      </c>
      <c r="E10" s="405">
        <v>4</v>
      </c>
      <c r="F10" s="405">
        <v>5</v>
      </c>
      <c r="G10" s="405">
        <v>6</v>
      </c>
      <c r="H10" s="405">
        <v>7</v>
      </c>
      <c r="I10" s="405">
        <v>8</v>
      </c>
      <c r="J10" s="405">
        <v>9</v>
      </c>
      <c r="K10" s="406">
        <v>10</v>
      </c>
      <c r="L10" s="407" t="s">
        <v>20</v>
      </c>
    </row>
    <row r="11" spans="1:16" ht="15" customHeight="1">
      <c r="A11" s="408" t="s">
        <v>21</v>
      </c>
      <c r="B11" s="409">
        <f t="shared" ref="B11:K11" si="0">SUMIF($G$17:$G$1036,B$10,$D$17:$D$1037)</f>
        <v>381.78000000000003</v>
      </c>
      <c r="C11" s="409">
        <f t="shared" si="0"/>
        <v>548.68000000000006</v>
      </c>
      <c r="D11" s="409">
        <f t="shared" si="0"/>
        <v>194.10000000000005</v>
      </c>
      <c r="E11" s="409">
        <f t="shared" si="0"/>
        <v>764.84999999999968</v>
      </c>
      <c r="F11" s="409">
        <f t="shared" si="0"/>
        <v>806.46999999999991</v>
      </c>
      <c r="G11" s="409">
        <f t="shared" si="0"/>
        <v>281.45999999999998</v>
      </c>
      <c r="H11" s="409">
        <f t="shared" si="0"/>
        <v>153.13999999999999</v>
      </c>
      <c r="I11" s="409">
        <f t="shared" si="0"/>
        <v>260</v>
      </c>
      <c r="J11" s="409">
        <f t="shared" si="0"/>
        <v>1376.25</v>
      </c>
      <c r="K11" s="409">
        <f t="shared" si="0"/>
        <v>254.8</v>
      </c>
      <c r="L11" s="410">
        <f>SUM(B11:K11)</f>
        <v>5021.53</v>
      </c>
      <c r="M11" s="411">
        <f>SUM(D17,D37,D45,D58,D117,D166,D188,D193,D196,D204)</f>
        <v>5021.53</v>
      </c>
    </row>
    <row r="12" spans="1:16" ht="15" customHeight="1">
      <c r="A12" s="412" t="s">
        <v>22</v>
      </c>
      <c r="B12" s="413">
        <f t="shared" ref="B12:K12" si="1">SUMIF($M$18:$M$1042,B$10,$K$18:$K$1042)</f>
        <v>26.509999999999998</v>
      </c>
      <c r="C12" s="413">
        <f t="shared" si="1"/>
        <v>0</v>
      </c>
      <c r="D12" s="413">
        <f t="shared" si="1"/>
        <v>0.09</v>
      </c>
      <c r="E12" s="413">
        <f t="shared" si="1"/>
        <v>140.5</v>
      </c>
      <c r="F12" s="413">
        <f t="shared" si="1"/>
        <v>224.51253899660921</v>
      </c>
      <c r="G12" s="413">
        <f t="shared" si="1"/>
        <v>279.06400000000002</v>
      </c>
      <c r="H12" s="413">
        <f t="shared" si="1"/>
        <v>1044.2144864999998</v>
      </c>
      <c r="I12" s="413">
        <f t="shared" si="1"/>
        <v>1.6</v>
      </c>
      <c r="J12" s="413">
        <f t="shared" si="1"/>
        <v>150.142</v>
      </c>
      <c r="K12" s="413">
        <f t="shared" si="1"/>
        <v>55.33</v>
      </c>
      <c r="L12" s="414">
        <f>SUM(B12:K12)</f>
        <v>1921.9630254966089</v>
      </c>
      <c r="M12" s="415">
        <f>SUM(K17,K22,K24,K28,K33,K43,K51,K71,K75,K82)</f>
        <v>1921.9630254966089</v>
      </c>
    </row>
    <row r="13" spans="1:16" ht="15" customHeight="1">
      <c r="M13" s="416"/>
    </row>
    <row r="15" spans="1:16" ht="15" customHeight="1">
      <c r="A15" s="417" t="s">
        <v>23</v>
      </c>
      <c r="B15" s="418"/>
      <c r="C15" s="418"/>
      <c r="D15" s="418"/>
      <c r="E15" s="418"/>
      <c r="F15" s="418"/>
      <c r="G15" s="419"/>
      <c r="H15" s="417" t="s">
        <v>24</v>
      </c>
      <c r="I15" s="418"/>
      <c r="J15" s="418"/>
      <c r="K15" s="418"/>
      <c r="L15" s="418"/>
      <c r="M15" s="418"/>
    </row>
    <row r="16" spans="1:16" ht="25.5">
      <c r="A16" s="420" t="s">
        <v>25</v>
      </c>
      <c r="B16" s="421"/>
      <c r="C16" s="422" t="s">
        <v>26</v>
      </c>
      <c r="D16" s="423" t="s">
        <v>21</v>
      </c>
      <c r="E16" s="423" t="s">
        <v>27</v>
      </c>
      <c r="F16" s="424"/>
      <c r="G16" s="424"/>
      <c r="H16" s="425" t="s">
        <v>25</v>
      </c>
      <c r="I16" s="426"/>
      <c r="J16" s="427" t="s">
        <v>26</v>
      </c>
      <c r="K16" s="428" t="s">
        <v>22</v>
      </c>
      <c r="L16" s="429">
        <f>+K17+K22+K24+K28+K33+K43+K51+K71+K75+K82</f>
        <v>1921.9630254966089</v>
      </c>
      <c r="M16" s="424"/>
    </row>
    <row r="17" spans="1:13" ht="15" customHeight="1">
      <c r="A17" s="430">
        <v>1</v>
      </c>
      <c r="B17" s="431"/>
      <c r="C17" s="432"/>
      <c r="D17" s="433">
        <f>SUM(D18:D35)</f>
        <v>381.78000000000003</v>
      </c>
      <c r="E17" s="434"/>
      <c r="F17" s="435"/>
      <c r="G17" s="435"/>
      <c r="H17" s="436">
        <v>1</v>
      </c>
      <c r="I17" s="437"/>
      <c r="J17" s="432"/>
      <c r="K17" s="433">
        <f>SUM(K18:K21)</f>
        <v>26.509999999999998</v>
      </c>
      <c r="L17" s="416"/>
      <c r="M17" s="416"/>
    </row>
    <row r="18" spans="1:13" ht="15" customHeight="1">
      <c r="A18" s="343" t="s">
        <v>149</v>
      </c>
      <c r="B18" s="344" t="s">
        <v>150</v>
      </c>
      <c r="C18" s="353">
        <v>6014</v>
      </c>
      <c r="D18" s="438">
        <v>87.6</v>
      </c>
      <c r="E18" s="351">
        <v>0</v>
      </c>
      <c r="F18" s="435" t="str">
        <f>IFERROR(VLOOKUP($C18,[18]Nod!$A$3:$E$982,4,FALSE)," ")</f>
        <v>PRO230</v>
      </c>
      <c r="G18" s="435">
        <f>IFERROR(VLOOKUP($C18,[18]Nod!$A$3:$E$982,5,FALSE)," ")</f>
        <v>1</v>
      </c>
      <c r="H18" s="439" t="s">
        <v>28</v>
      </c>
      <c r="I18" s="362"/>
      <c r="J18" s="440"/>
      <c r="K18" s="440"/>
      <c r="L18" s="416"/>
      <c r="M18" s="416"/>
    </row>
    <row r="19" spans="1:13" ht="15" customHeight="1">
      <c r="A19" s="343" t="s">
        <v>151</v>
      </c>
      <c r="B19" s="344" t="s">
        <v>150</v>
      </c>
      <c r="C19" s="353">
        <v>6014</v>
      </c>
      <c r="D19" s="438">
        <v>57.4</v>
      </c>
      <c r="E19" s="351">
        <v>0</v>
      </c>
      <c r="F19" s="435" t="str">
        <f>IFERROR(VLOOKUP($C19,[18]Nod!$A$3:$E$982,4,FALSE)," ")</f>
        <v>PRO230</v>
      </c>
      <c r="G19" s="435">
        <f>IFERROR(VLOOKUP($C19,[18]Nod!$A$3:$E$982,5,FALSE)," ")</f>
        <v>1</v>
      </c>
      <c r="H19" s="441" t="s">
        <v>29</v>
      </c>
      <c r="I19" s="442"/>
      <c r="J19" s="349">
        <v>6014</v>
      </c>
      <c r="K19" s="443">
        <v>25.99</v>
      </c>
      <c r="L19" s="416" t="str">
        <f>VLOOKUP($J19,[18]Nod!$A$3:$E$981,4,FALSE)</f>
        <v>PRO230</v>
      </c>
      <c r="M19" s="416">
        <f>VLOOKUP($J19,[18]Nod!$A$3:$E$981,5,FALSE)</f>
        <v>1</v>
      </c>
    </row>
    <row r="20" spans="1:13" ht="15" customHeight="1">
      <c r="A20" s="343" t="s">
        <v>152</v>
      </c>
      <c r="B20" s="344" t="s">
        <v>150</v>
      </c>
      <c r="C20" s="353">
        <v>6014</v>
      </c>
      <c r="D20" s="438">
        <v>30</v>
      </c>
      <c r="E20" s="351">
        <v>0</v>
      </c>
      <c r="F20" s="435" t="str">
        <f>IFERROR(VLOOKUP($C20,[18]Nod!$A$3:$E$982,4,FALSE)," ")</f>
        <v>PRO230</v>
      </c>
      <c r="G20" s="435">
        <f>IFERROR(VLOOKUP($C20,[18]Nod!$A$3:$E$982,5,FALSE)," ")</f>
        <v>1</v>
      </c>
      <c r="H20" s="441" t="s">
        <v>30</v>
      </c>
      <c r="I20" s="442"/>
      <c r="J20" s="349">
        <v>6014</v>
      </c>
      <c r="K20" s="443">
        <v>0.52</v>
      </c>
      <c r="L20" s="416" t="str">
        <f>VLOOKUP($J20,[18]Nod!$A$3:$E$981,4,FALSE)</f>
        <v>PRO230</v>
      </c>
      <c r="M20" s="416">
        <f>VLOOKUP($J20,[18]Nod!$A$3:$E$981,5,FALSE)</f>
        <v>1</v>
      </c>
    </row>
    <row r="21" spans="1:13" ht="15" customHeight="1">
      <c r="A21" s="343" t="s">
        <v>153</v>
      </c>
      <c r="B21" s="344" t="s">
        <v>150</v>
      </c>
      <c r="C21" s="353">
        <v>6014</v>
      </c>
      <c r="D21" s="438">
        <v>27.9</v>
      </c>
      <c r="E21" s="351">
        <v>0</v>
      </c>
      <c r="F21" s="435" t="str">
        <f>IFERROR(VLOOKUP($C21,[18]Nod!$A$3:$E$982,4,FALSE)," ")</f>
        <v>PRO230</v>
      </c>
      <c r="G21" s="435">
        <f>IFERROR(VLOOKUP($C21,[18]Nod!$A$3:$E$982,5,FALSE)," ")</f>
        <v>1</v>
      </c>
      <c r="H21" s="444" t="s">
        <v>31</v>
      </c>
      <c r="I21" s="445"/>
      <c r="J21" s="446"/>
      <c r="K21" s="446"/>
      <c r="L21" s="416"/>
      <c r="M21" s="416"/>
    </row>
    <row r="22" spans="1:13" ht="15" customHeight="1">
      <c r="A22" s="343" t="s">
        <v>154</v>
      </c>
      <c r="B22" s="344" t="s">
        <v>150</v>
      </c>
      <c r="C22" s="353">
        <v>6014</v>
      </c>
      <c r="D22" s="438">
        <v>10</v>
      </c>
      <c r="E22" s="351">
        <v>0</v>
      </c>
      <c r="F22" s="435" t="str">
        <f>IFERROR(VLOOKUP($C22,[18]Nod!$A$3:$E$982,4,FALSE)," ")</f>
        <v>PRO230</v>
      </c>
      <c r="G22" s="435">
        <f>IFERROR(VLOOKUP($C22,[18]Nod!$A$3:$E$982,5,FALSE)," ")</f>
        <v>1</v>
      </c>
      <c r="H22" s="447">
        <v>2</v>
      </c>
      <c r="I22" s="437"/>
      <c r="J22" s="432"/>
      <c r="K22" s="433"/>
      <c r="L22" s="416"/>
      <c r="M22" s="416"/>
    </row>
    <row r="23" spans="1:13" ht="15" customHeight="1">
      <c r="A23" s="343" t="s">
        <v>155</v>
      </c>
      <c r="B23" s="344" t="s">
        <v>156</v>
      </c>
      <c r="C23" s="353">
        <v>6014</v>
      </c>
      <c r="D23" s="438">
        <v>10</v>
      </c>
      <c r="E23" s="351">
        <v>0</v>
      </c>
      <c r="F23" s="435" t="str">
        <f>IFERROR(VLOOKUP($C23,[18]Nod!$A$3:$E$982,4,FALSE)," ")</f>
        <v>PRO230</v>
      </c>
      <c r="G23" s="435">
        <f>IFERROR(VLOOKUP($C23,[18]Nod!$A$3:$E$982,5,FALSE)," ")</f>
        <v>1</v>
      </c>
      <c r="H23" s="444" t="s">
        <v>31</v>
      </c>
      <c r="I23" s="445"/>
      <c r="J23" s="446"/>
      <c r="K23" s="446"/>
      <c r="L23" s="416"/>
      <c r="M23" s="416"/>
    </row>
    <row r="24" spans="1:13" ht="15" customHeight="1">
      <c r="A24" s="343" t="s">
        <v>157</v>
      </c>
      <c r="B24" s="344" t="s">
        <v>156</v>
      </c>
      <c r="C24" s="353">
        <v>6014</v>
      </c>
      <c r="D24" s="438">
        <v>5.5</v>
      </c>
      <c r="E24" s="351">
        <v>0</v>
      </c>
      <c r="F24" s="435" t="str">
        <f>IFERROR(VLOOKUP($C24,[18]Nod!$A$3:$E$982,4,FALSE)," ")</f>
        <v>PRO230</v>
      </c>
      <c r="G24" s="435">
        <f>IFERROR(VLOOKUP($C24,[18]Nod!$A$3:$E$982,5,FALSE)," ")</f>
        <v>1</v>
      </c>
      <c r="H24" s="436">
        <v>3</v>
      </c>
      <c r="I24" s="437"/>
      <c r="J24" s="432"/>
      <c r="K24" s="433">
        <f>SUM(K25:K27)</f>
        <v>0.09</v>
      </c>
      <c r="L24" s="416"/>
      <c r="M24" s="416"/>
    </row>
    <row r="25" spans="1:13" ht="15" customHeight="1">
      <c r="A25" s="343" t="s">
        <v>158</v>
      </c>
      <c r="B25" s="344" t="s">
        <v>156</v>
      </c>
      <c r="C25" s="353">
        <v>6014</v>
      </c>
      <c r="D25" s="448">
        <v>25</v>
      </c>
      <c r="E25" s="351">
        <v>0</v>
      </c>
      <c r="F25" s="435" t="str">
        <f>IFERROR(VLOOKUP($C25,[18]Nod!$A$3:$E$982,4,FALSE)," ")</f>
        <v>PRO230</v>
      </c>
      <c r="G25" s="435">
        <f>IFERROR(VLOOKUP($C25,[18]Nod!$A$3:$E$982,5,FALSE)," ")</f>
        <v>1</v>
      </c>
      <c r="H25" s="439" t="s">
        <v>28</v>
      </c>
      <c r="I25" s="362"/>
      <c r="J25" s="440"/>
      <c r="K25" s="440"/>
      <c r="L25" s="416"/>
      <c r="M25" s="416"/>
    </row>
    <row r="26" spans="1:13" ht="15" customHeight="1">
      <c r="A26" s="343" t="s">
        <v>159</v>
      </c>
      <c r="B26" s="344" t="s">
        <v>156</v>
      </c>
      <c r="C26" s="353">
        <v>6014</v>
      </c>
      <c r="D26" s="448">
        <v>25.9</v>
      </c>
      <c r="E26" s="351">
        <v>0</v>
      </c>
      <c r="F26" s="435" t="str">
        <f>IFERROR(VLOOKUP($C26,[18]Nod!$A$3:$E$982,4,FALSE)," ")</f>
        <v>PRO230</v>
      </c>
      <c r="G26" s="435">
        <f>IFERROR(VLOOKUP($C26,[18]Nod!$A$3:$E$982,5,FALSE)," ")</f>
        <v>1</v>
      </c>
      <c r="H26" s="441" t="s">
        <v>32</v>
      </c>
      <c r="I26" s="442"/>
      <c r="J26" s="349">
        <v>6087</v>
      </c>
      <c r="K26" s="443">
        <v>0.09</v>
      </c>
      <c r="L26" s="416" t="str">
        <f>VLOOKUP($J26,[18]Nod!$A$3:$E$981,4,FALSE)</f>
        <v>CAL115</v>
      </c>
      <c r="M26" s="416">
        <f>VLOOKUP($J26,[18]Nod!$A$3:$E$981,5,FALSE)</f>
        <v>3</v>
      </c>
    </row>
    <row r="27" spans="1:13" ht="15" customHeight="1">
      <c r="A27" s="343" t="s">
        <v>160</v>
      </c>
      <c r="B27" s="344" t="s">
        <v>156</v>
      </c>
      <c r="C27" s="353">
        <v>6014</v>
      </c>
      <c r="D27" s="448">
        <v>10</v>
      </c>
      <c r="E27" s="351">
        <v>0</v>
      </c>
      <c r="F27" s="435" t="str">
        <f>IFERROR(VLOOKUP($C27,[18]Nod!$A$3:$E$982,4,FALSE)," ")</f>
        <v>PRO230</v>
      </c>
      <c r="G27" s="435">
        <f>IFERROR(VLOOKUP($C27,[18]Nod!$A$3:$E$982,5,FALSE)," ")</f>
        <v>1</v>
      </c>
      <c r="H27" s="444" t="s">
        <v>31</v>
      </c>
      <c r="I27" s="445"/>
      <c r="J27" s="446"/>
      <c r="K27" s="446"/>
      <c r="L27" s="416"/>
      <c r="M27" s="416"/>
    </row>
    <row r="28" spans="1:13" ht="15" customHeight="1">
      <c r="A28" s="343" t="s">
        <v>161</v>
      </c>
      <c r="B28" s="344" t="s">
        <v>156</v>
      </c>
      <c r="C28" s="353">
        <v>6014</v>
      </c>
      <c r="D28" s="448">
        <v>10</v>
      </c>
      <c r="E28" s="351">
        <v>0</v>
      </c>
      <c r="F28" s="435" t="str">
        <f>IFERROR(VLOOKUP($C28,[18]Nod!$A$3:$E$982,4,FALSE)," ")</f>
        <v>PRO230</v>
      </c>
      <c r="G28" s="435">
        <f>IFERROR(VLOOKUP($C28,[18]Nod!$A$3:$E$982,5,FALSE)," ")</f>
        <v>1</v>
      </c>
      <c r="H28" s="436">
        <v>4</v>
      </c>
      <c r="I28" s="437"/>
      <c r="J28" s="432"/>
      <c r="K28" s="433">
        <f>SUM(K29:K31)</f>
        <v>140.5</v>
      </c>
      <c r="L28" s="416"/>
      <c r="M28" s="416"/>
    </row>
    <row r="29" spans="1:13" ht="15" customHeight="1">
      <c r="A29" s="343" t="s">
        <v>162</v>
      </c>
      <c r="B29" s="344" t="s">
        <v>156</v>
      </c>
      <c r="C29" s="353">
        <v>6014</v>
      </c>
      <c r="D29" s="448">
        <v>10</v>
      </c>
      <c r="E29" s="351">
        <v>0</v>
      </c>
      <c r="F29" s="435" t="str">
        <f>IFERROR(VLOOKUP($C29,[18]Nod!$A$3:$E$982,4,FALSE)," ")</f>
        <v>PRO230</v>
      </c>
      <c r="G29" s="435">
        <f>IFERROR(VLOOKUP($C29,[18]Nod!$A$3:$E$982,5,FALSE)," ")</f>
        <v>1</v>
      </c>
      <c r="H29" s="439" t="s">
        <v>28</v>
      </c>
      <c r="I29" s="362"/>
      <c r="J29" s="440"/>
      <c r="K29" s="323"/>
      <c r="L29" s="416"/>
      <c r="M29" s="416"/>
    </row>
    <row r="30" spans="1:13" ht="15" customHeight="1">
      <c r="A30" s="343" t="s">
        <v>163</v>
      </c>
      <c r="B30" s="344" t="s">
        <v>156</v>
      </c>
      <c r="C30" s="353">
        <v>6014</v>
      </c>
      <c r="D30" s="448">
        <v>10</v>
      </c>
      <c r="E30" s="351">
        <v>0</v>
      </c>
      <c r="F30" s="435" t="str">
        <f>IFERROR(VLOOKUP($C30,[18]Nod!$A$3:$E$982,4,FALSE)," ")</f>
        <v>PRO230</v>
      </c>
      <c r="G30" s="435">
        <f>IFERROR(VLOOKUP($C30,[18]Nod!$A$3:$E$982,5,FALSE)," ")</f>
        <v>1</v>
      </c>
      <c r="H30" s="449" t="s">
        <v>33</v>
      </c>
      <c r="I30" s="442"/>
      <c r="J30" s="349">
        <v>6013</v>
      </c>
      <c r="K30" s="323"/>
      <c r="L30" s="416" t="str">
        <f>VLOOKUP($J30,[18]Nod!$A$3:$E$981,4,FALSE)</f>
        <v>MDN34</v>
      </c>
      <c r="M30" s="416">
        <f>VLOOKUP($J30,[18]Nod!$A$3:$E$981,5,FALSE)</f>
        <v>4</v>
      </c>
    </row>
    <row r="31" spans="1:13" ht="15" customHeight="1">
      <c r="A31" s="343" t="s">
        <v>164</v>
      </c>
      <c r="B31" s="344" t="s">
        <v>156</v>
      </c>
      <c r="C31" s="353">
        <v>6014</v>
      </c>
      <c r="D31" s="448">
        <v>10</v>
      </c>
      <c r="E31" s="351">
        <v>0</v>
      </c>
      <c r="F31" s="435" t="str">
        <f>IFERROR(VLOOKUP($C31,[18]Nod!$A$3:$E$982,4,FALSE)," ")</f>
        <v>PRO230</v>
      </c>
      <c r="G31" s="435">
        <f>IFERROR(VLOOKUP($C31,[18]Nod!$A$3:$E$982,5,FALSE)," ")</f>
        <v>1</v>
      </c>
      <c r="H31" s="449" t="s">
        <v>34</v>
      </c>
      <c r="I31" s="442"/>
      <c r="J31" s="349">
        <v>6013</v>
      </c>
      <c r="K31" s="443">
        <v>140.5</v>
      </c>
      <c r="L31" s="416" t="str">
        <f>VLOOKUP($J31,[18]Nod!$A$3:$E$981,4,FALSE)</f>
        <v>MDN34</v>
      </c>
      <c r="M31" s="416">
        <f>VLOOKUP($J31,[18]Nod!$A$3:$E$981,5,FALSE)</f>
        <v>4</v>
      </c>
    </row>
    <row r="32" spans="1:13" ht="15" customHeight="1">
      <c r="A32" s="343" t="s">
        <v>165</v>
      </c>
      <c r="B32" s="344" t="s">
        <v>156</v>
      </c>
      <c r="C32" s="353">
        <v>6014</v>
      </c>
      <c r="D32" s="438">
        <v>19.88</v>
      </c>
      <c r="E32" s="351">
        <v>0</v>
      </c>
      <c r="F32" s="435" t="str">
        <f>IFERROR(VLOOKUP($C32,[18]Nod!$A$3:$E$982,4,FALSE)," ")</f>
        <v>PRO230</v>
      </c>
      <c r="G32" s="435">
        <f>IFERROR(VLOOKUP($C32,[18]Nod!$A$3:$E$982,5,FALSE)," ")</f>
        <v>1</v>
      </c>
      <c r="H32" s="444" t="s">
        <v>31</v>
      </c>
      <c r="I32" s="445"/>
      <c r="J32" s="446"/>
      <c r="K32" s="323"/>
      <c r="L32" s="416"/>
      <c r="M32" s="416"/>
    </row>
    <row r="33" spans="1:13" ht="15" customHeight="1">
      <c r="A33" s="343" t="s">
        <v>166</v>
      </c>
      <c r="B33" s="344" t="s">
        <v>156</v>
      </c>
      <c r="C33" s="353">
        <v>6014</v>
      </c>
      <c r="D33" s="448">
        <v>17.600000000000001</v>
      </c>
      <c r="E33" s="351">
        <v>0</v>
      </c>
      <c r="F33" s="435" t="str">
        <f>IFERROR(VLOOKUP($C33,[18]Nod!$A$3:$E$982,4,FALSE)," ")</f>
        <v>PRO230</v>
      </c>
      <c r="G33" s="435">
        <f>IFERROR(VLOOKUP($C33,[18]Nod!$A$3:$E$982,5,FALSE)," ")</f>
        <v>1</v>
      </c>
      <c r="H33" s="450">
        <v>5</v>
      </c>
      <c r="I33" s="431"/>
      <c r="J33" s="451"/>
      <c r="K33" s="433">
        <f>SUM(K34:K41)</f>
        <v>224.51253899660921</v>
      </c>
      <c r="L33" s="416"/>
      <c r="M33" s="416"/>
    </row>
    <row r="34" spans="1:13" ht="15" customHeight="1">
      <c r="A34" s="348" t="s">
        <v>321</v>
      </c>
      <c r="B34" s="344" t="s">
        <v>156</v>
      </c>
      <c r="C34" s="353">
        <v>6014</v>
      </c>
      <c r="D34" s="448">
        <v>10</v>
      </c>
      <c r="E34" s="351">
        <v>0</v>
      </c>
      <c r="F34" s="435" t="str">
        <f>IFERROR(VLOOKUP($C34,[18]Nod!$A$3:$E$982,4,FALSE)," ")</f>
        <v>PRO230</v>
      </c>
      <c r="G34" s="435">
        <f>IFERROR(VLOOKUP($C34,[18]Nod!$A$3:$E$982,5,FALSE)," ")</f>
        <v>1</v>
      </c>
      <c r="H34" s="439" t="s">
        <v>35</v>
      </c>
      <c r="I34" s="362"/>
      <c r="J34" s="440"/>
      <c r="K34" s="323"/>
      <c r="L34" s="416"/>
      <c r="M34" s="416"/>
    </row>
    <row r="35" spans="1:13" ht="15" customHeight="1">
      <c r="A35" s="348" t="s">
        <v>322</v>
      </c>
      <c r="B35" s="344" t="s">
        <v>156</v>
      </c>
      <c r="C35" s="353">
        <v>6014</v>
      </c>
      <c r="D35" s="448">
        <v>5</v>
      </c>
      <c r="E35" s="351">
        <v>0</v>
      </c>
      <c r="F35" s="435" t="str">
        <f>IFERROR(VLOOKUP($C35,[18]Nod!$A$3:$E$982,4,FALSE)," ")</f>
        <v>PRO230</v>
      </c>
      <c r="G35" s="435">
        <f>IFERROR(VLOOKUP($C35,[18]Nod!$A$3:$E$982,5,FALSE)," ")</f>
        <v>1</v>
      </c>
      <c r="H35" s="455" t="s">
        <v>311</v>
      </c>
      <c r="I35" s="442"/>
      <c r="J35" s="349">
        <v>6460</v>
      </c>
      <c r="K35" s="443">
        <v>200.73</v>
      </c>
      <c r="L35" s="416" t="str">
        <f>VLOOKUP($J35,[18]Nod!$A$3:$E$981,4,FALSE)</f>
        <v>ECO230</v>
      </c>
      <c r="M35" s="416">
        <f>VLOOKUP($J35,[18]Nod!$A$3:$E$981,5,FALSE)</f>
        <v>5</v>
      </c>
    </row>
    <row r="36" spans="1:13" ht="15" customHeight="1">
      <c r="A36" s="453" t="s">
        <v>31</v>
      </c>
      <c r="B36" s="362"/>
      <c r="C36" s="440"/>
      <c r="D36" s="446"/>
      <c r="E36" s="454"/>
      <c r="F36" s="435" t="str">
        <f>IFERROR(VLOOKUP($C36,[18]Nod!$A$3:$E$982,4,FALSE)," ")</f>
        <v xml:space="preserve"> </v>
      </c>
      <c r="G36" s="435" t="str">
        <f>IFERROR(VLOOKUP($C36,[18]Nod!$A$3:$E$982,5,FALSE)," ")</f>
        <v xml:space="preserve"> </v>
      </c>
      <c r="H36" s="439" t="s">
        <v>36</v>
      </c>
      <c r="I36" s="362"/>
      <c r="J36" s="440"/>
      <c r="K36" s="443"/>
      <c r="L36" s="416"/>
      <c r="M36" s="416"/>
    </row>
    <row r="37" spans="1:13" ht="15" customHeight="1">
      <c r="A37" s="456">
        <v>2</v>
      </c>
      <c r="B37" s="437"/>
      <c r="C37" s="432"/>
      <c r="D37" s="433">
        <f>SUM(D38:D43)</f>
        <v>548.68000000000006</v>
      </c>
      <c r="E37" s="434"/>
      <c r="F37" s="435" t="str">
        <f>IFERROR(VLOOKUP($C37,[18]Nod!$A$3:$E$982,4,FALSE)," ")</f>
        <v xml:space="preserve"> </v>
      </c>
      <c r="G37" s="435" t="str">
        <f>IFERROR(VLOOKUP($C37,[18]Nod!$A$3:$E$982,5,FALSE)," ")</f>
        <v xml:space="preserve"> </v>
      </c>
      <c r="H37" s="441" t="s">
        <v>37</v>
      </c>
      <c r="I37" s="442"/>
      <c r="J37" s="349">
        <v>6460</v>
      </c>
      <c r="K37" s="443">
        <v>0.94</v>
      </c>
      <c r="L37" s="416" t="str">
        <f>VLOOKUP($J37,[18]Nod!$A$3:$E$981,4,FALSE)</f>
        <v>ECO230</v>
      </c>
      <c r="M37" s="416">
        <f>VLOOKUP($J37,[18]Nod!$A$3:$E$981,5,FALSE)</f>
        <v>5</v>
      </c>
    </row>
    <row r="38" spans="1:13" ht="15" customHeight="1">
      <c r="A38" s="343" t="s">
        <v>168</v>
      </c>
      <c r="B38" s="344" t="s">
        <v>150</v>
      </c>
      <c r="C38" s="349">
        <v>6096</v>
      </c>
      <c r="D38" s="448">
        <v>300</v>
      </c>
      <c r="E38" s="351">
        <v>0</v>
      </c>
      <c r="F38" s="435" t="str">
        <f>IFERROR(VLOOKUP($C38,[18]Nod!$A$3:$E$982,4,FALSE)," ")</f>
        <v>FOR230</v>
      </c>
      <c r="G38" s="435">
        <f>IFERROR(VLOOKUP($C38,[18]Nod!$A$3:$E$982,5,FALSE)," ")</f>
        <v>2</v>
      </c>
      <c r="H38" s="441" t="s">
        <v>38</v>
      </c>
      <c r="I38" s="442"/>
      <c r="J38" s="349"/>
      <c r="K38" s="443"/>
      <c r="L38" s="416"/>
      <c r="M38" s="416"/>
    </row>
    <row r="39" spans="1:13" ht="15" customHeight="1">
      <c r="A39" s="343" t="s">
        <v>169</v>
      </c>
      <c r="B39" s="344" t="s">
        <v>150</v>
      </c>
      <c r="C39" s="349">
        <v>6179</v>
      </c>
      <c r="D39" s="448">
        <v>120</v>
      </c>
      <c r="E39" s="351">
        <v>0</v>
      </c>
      <c r="F39" s="435" t="str">
        <f>IFERROR(VLOOKUP($C39,[18]Nod!$A$3:$E$982,4,FALSE)," ")</f>
        <v>GUA230</v>
      </c>
      <c r="G39" s="435">
        <f>IFERROR(VLOOKUP($C39,[18]Nod!$A$3:$E$982,5,FALSE)," ")</f>
        <v>2</v>
      </c>
      <c r="H39" s="441" t="s">
        <v>39</v>
      </c>
      <c r="I39" s="442"/>
      <c r="J39" s="349">
        <v>6460</v>
      </c>
      <c r="K39" s="457">
        <v>0.84253899660921205</v>
      </c>
      <c r="L39" s="416" t="str">
        <f>VLOOKUP($J39,[18]Nod!$A$3:$E$981,4,FALSE)</f>
        <v>ECO230</v>
      </c>
      <c r="M39" s="416">
        <f>VLOOKUP($J39,[18]Nod!$A$3:$E$981,5,FALSE)</f>
        <v>5</v>
      </c>
    </row>
    <row r="40" spans="1:13" ht="15" customHeight="1">
      <c r="A40" s="343" t="s">
        <v>170</v>
      </c>
      <c r="B40" s="344" t="s">
        <v>150</v>
      </c>
      <c r="C40" s="349">
        <v>6179</v>
      </c>
      <c r="D40" s="448">
        <v>35</v>
      </c>
      <c r="E40" s="351">
        <v>0</v>
      </c>
      <c r="F40" s="435" t="str">
        <f>IFERROR(VLOOKUP($C40,[18]Nod!$A$3:$E$982,4,FALSE)," ")</f>
        <v>GUA230</v>
      </c>
      <c r="G40" s="435">
        <f>IFERROR(VLOOKUP($C40,[18]Nod!$A$3:$E$982,5,FALSE)," ")</f>
        <v>2</v>
      </c>
      <c r="H40" s="458" t="s">
        <v>40</v>
      </c>
      <c r="I40" s="362"/>
      <c r="J40" s="440"/>
      <c r="K40" s="443"/>
      <c r="L40" s="416"/>
      <c r="M40" s="416"/>
    </row>
    <row r="41" spans="1:13" ht="15" customHeight="1">
      <c r="A41" s="343" t="s">
        <v>171</v>
      </c>
      <c r="B41" s="344" t="s">
        <v>150</v>
      </c>
      <c r="C41" s="349">
        <v>6179</v>
      </c>
      <c r="D41" s="448">
        <v>58.69</v>
      </c>
      <c r="E41" s="351">
        <v>0</v>
      </c>
      <c r="F41" s="435" t="str">
        <f>IFERROR(VLOOKUP($C41,[18]Nod!$A$3:$E$982,4,FALSE)," ")</f>
        <v>GUA230</v>
      </c>
      <c r="G41" s="435">
        <f>IFERROR(VLOOKUP($C41,[18]Nod!$A$3:$E$982,5,FALSE)," ")</f>
        <v>2</v>
      </c>
      <c r="H41" s="441" t="s">
        <v>41</v>
      </c>
      <c r="I41" s="442"/>
      <c r="J41" s="349">
        <v>6460</v>
      </c>
      <c r="K41" s="443">
        <v>22</v>
      </c>
      <c r="L41" s="416" t="str">
        <f>VLOOKUP($J41,[18]Nod!$A$3:$E$981,4,FALSE)</f>
        <v>ECO230</v>
      </c>
      <c r="M41" s="416">
        <f>VLOOKUP($J41,[18]Nod!$A$3:$E$981,5,FALSE)</f>
        <v>5</v>
      </c>
    </row>
    <row r="42" spans="1:13" ht="15" customHeight="1">
      <c r="A42" s="343" t="s">
        <v>172</v>
      </c>
      <c r="B42" s="344" t="s">
        <v>156</v>
      </c>
      <c r="C42" s="349">
        <v>6179</v>
      </c>
      <c r="D42" s="448">
        <v>9.69</v>
      </c>
      <c r="E42" s="351">
        <v>0</v>
      </c>
      <c r="F42" s="435" t="str">
        <f>IFERROR(VLOOKUP($C42,[18]Nod!$A$3:$E$982,4,FALSE)," ")</f>
        <v>GUA230</v>
      </c>
      <c r="G42" s="435">
        <f>IFERROR(VLOOKUP($C42,[18]Nod!$A$3:$E$982,5,FALSE)," ")</f>
        <v>2</v>
      </c>
      <c r="H42" s="459" t="s">
        <v>31</v>
      </c>
      <c r="I42" s="362"/>
      <c r="J42" s="440"/>
      <c r="K42" s="323"/>
      <c r="L42" s="416"/>
      <c r="M42" s="416"/>
    </row>
    <row r="43" spans="1:13" ht="15" customHeight="1">
      <c r="A43" s="343" t="s">
        <v>323</v>
      </c>
      <c r="B43" s="344" t="s">
        <v>150</v>
      </c>
      <c r="C43" s="349">
        <v>6179</v>
      </c>
      <c r="D43" s="448">
        <v>25.3</v>
      </c>
      <c r="E43" s="351">
        <v>0</v>
      </c>
      <c r="F43" s="435" t="str">
        <f>IFERROR(VLOOKUP($C43,[18]Nod!$A$3:$E$982,4,FALSE)," ")</f>
        <v>GUA230</v>
      </c>
      <c r="G43" s="435">
        <f>IFERROR(VLOOKUP($C43,[18]Nod!$A$3:$E$982,5,FALSE)," ")</f>
        <v>2</v>
      </c>
      <c r="H43" s="447">
        <v>6</v>
      </c>
      <c r="I43" s="437"/>
      <c r="J43" s="432"/>
      <c r="K43" s="433">
        <f>SUM(K44:K49)</f>
        <v>279.06400000000002</v>
      </c>
      <c r="L43" s="416"/>
      <c r="M43" s="416"/>
    </row>
    <row r="44" spans="1:13" ht="15" customHeight="1">
      <c r="A44" s="460" t="s">
        <v>31</v>
      </c>
      <c r="B44" s="445"/>
      <c r="C44" s="446"/>
      <c r="D44" s="446"/>
      <c r="E44" s="461"/>
      <c r="F44" s="435" t="str">
        <f>IFERROR(VLOOKUP($C44,[18]Nod!$A$3:$E$982,4,FALSE)," ")</f>
        <v xml:space="preserve"> </v>
      </c>
      <c r="G44" s="435" t="str">
        <f>IFERROR(VLOOKUP($C44,[18]Nod!$A$3:$E$982,5,FALSE)," ")</f>
        <v xml:space="preserve"> </v>
      </c>
      <c r="H44" s="439" t="s">
        <v>35</v>
      </c>
      <c r="I44" s="362"/>
      <c r="J44" s="440"/>
      <c r="K44" s="323"/>
      <c r="L44" s="416"/>
      <c r="M44" s="416"/>
    </row>
    <row r="45" spans="1:13" ht="15" customHeight="1">
      <c r="A45" s="430">
        <v>3</v>
      </c>
      <c r="B45" s="431"/>
      <c r="C45" s="451"/>
      <c r="D45" s="433">
        <f>SUM(D46:D56)</f>
        <v>194.10000000000005</v>
      </c>
      <c r="E45" s="462"/>
      <c r="F45" s="435" t="str">
        <f>IFERROR(VLOOKUP($C45,[18]Nod!$A$3:$E$982,4,FALSE)," ")</f>
        <v xml:space="preserve"> </v>
      </c>
      <c r="G45" s="435" t="str">
        <f>IFERROR(VLOOKUP($C45,[18]Nod!$A$3:$E$982,5,FALSE)," ")</f>
        <v xml:space="preserve"> </v>
      </c>
      <c r="H45" s="455" t="s">
        <v>173</v>
      </c>
      <c r="I45" s="442"/>
      <c r="J45" s="349">
        <v>6240</v>
      </c>
      <c r="K45" s="443">
        <v>60.93</v>
      </c>
      <c r="L45" s="416" t="str">
        <f>VLOOKUP($J45,[18]Nod!$A$3:$E$981,4,FALSE)</f>
        <v>EHIG230</v>
      </c>
      <c r="M45" s="416">
        <f>VLOOKUP($J45,[18]Nod!$A$3:$E$981,5,FALSE)</f>
        <v>6</v>
      </c>
    </row>
    <row r="46" spans="1:13" ht="15" customHeight="1">
      <c r="A46" s="343" t="s">
        <v>174</v>
      </c>
      <c r="B46" s="344" t="s">
        <v>150</v>
      </c>
      <c r="C46" s="349">
        <v>6087</v>
      </c>
      <c r="D46" s="438">
        <v>47.2</v>
      </c>
      <c r="E46" s="351">
        <v>0</v>
      </c>
      <c r="F46" s="435" t="str">
        <f>IFERROR(VLOOKUP($C46,[18]Nod!$A$3:$E$982,4,FALSE)," ")</f>
        <v>CAL115</v>
      </c>
      <c r="G46" s="435">
        <f>IFERROR(VLOOKUP($C46,[18]Nod!$A$3:$E$982,5,FALSE)," ")</f>
        <v>3</v>
      </c>
      <c r="H46" s="441" t="s">
        <v>42</v>
      </c>
      <c r="I46" s="442"/>
      <c r="J46" s="349">
        <v>6005</v>
      </c>
      <c r="K46" s="443">
        <v>217.48</v>
      </c>
      <c r="L46" s="416" t="str">
        <f>VLOOKUP($J46,[18]Nod!$A$3:$E$981,4,FALSE)</f>
        <v>CHO230</v>
      </c>
      <c r="M46" s="416">
        <f>VLOOKUP($J46,[18]Nod!$A$3:$E$981,5,FALSE)</f>
        <v>6</v>
      </c>
    </row>
    <row r="47" spans="1:13" ht="15" customHeight="1">
      <c r="A47" s="343" t="s">
        <v>175</v>
      </c>
      <c r="B47" s="344" t="s">
        <v>150</v>
      </c>
      <c r="C47" s="349">
        <v>6087</v>
      </c>
      <c r="D47" s="438">
        <v>54.8</v>
      </c>
      <c r="E47" s="351">
        <v>0</v>
      </c>
      <c r="F47" s="435" t="str">
        <f>IFERROR(VLOOKUP($C47,[18]Nod!$A$3:$E$982,4,FALSE)," ")</f>
        <v>CAL115</v>
      </c>
      <c r="G47" s="435">
        <f>IFERROR(VLOOKUP($C47,[18]Nod!$A$3:$E$982,5,FALSE)," ")</f>
        <v>3</v>
      </c>
      <c r="H47" s="439" t="s">
        <v>36</v>
      </c>
      <c r="I47" s="362"/>
      <c r="J47" s="440"/>
      <c r="K47" s="463"/>
      <c r="L47" s="416"/>
      <c r="M47" s="416"/>
    </row>
    <row r="48" spans="1:13" ht="15" customHeight="1">
      <c r="A48" s="343" t="s">
        <v>176</v>
      </c>
      <c r="B48" s="344" t="s">
        <v>150</v>
      </c>
      <c r="C48" s="349">
        <v>6087</v>
      </c>
      <c r="D48" s="438">
        <v>19.75</v>
      </c>
      <c r="E48" s="351">
        <v>0</v>
      </c>
      <c r="F48" s="435" t="str">
        <f>IFERROR(VLOOKUP($C48,[18]Nod!$A$3:$E$982,4,FALSE)," ")</f>
        <v>CAL115</v>
      </c>
      <c r="G48" s="435">
        <f>IFERROR(VLOOKUP($C48,[18]Nod!$A$3:$E$982,5,FALSE)," ")</f>
        <v>3</v>
      </c>
      <c r="H48" s="441" t="s">
        <v>37</v>
      </c>
      <c r="I48" s="442"/>
      <c r="J48" s="349">
        <v>6005</v>
      </c>
      <c r="K48" s="464">
        <v>0.32100000000000001</v>
      </c>
      <c r="L48" s="416" t="str">
        <f>VLOOKUP($J48,[18]Nod!$A$3:$E$981,4,FALSE)</f>
        <v>CHO230</v>
      </c>
      <c r="M48" s="416">
        <f>VLOOKUP($J48,[18]Nod!$A$3:$E$981,5,FALSE)</f>
        <v>6</v>
      </c>
    </row>
    <row r="49" spans="1:13" ht="15" customHeight="1">
      <c r="A49" s="343" t="s">
        <v>177</v>
      </c>
      <c r="B49" s="344" t="s">
        <v>150</v>
      </c>
      <c r="C49" s="349">
        <v>6087</v>
      </c>
      <c r="D49" s="438">
        <v>15.5</v>
      </c>
      <c r="E49" s="351">
        <v>0</v>
      </c>
      <c r="F49" s="435" t="str">
        <f>IFERROR(VLOOKUP($C49,[18]Nod!$A$3:$E$982,4,FALSE)," ")</f>
        <v>CAL115</v>
      </c>
      <c r="G49" s="435">
        <f>IFERROR(VLOOKUP($C49,[18]Nod!$A$3:$E$982,5,FALSE)," ")</f>
        <v>3</v>
      </c>
      <c r="H49" s="441" t="s">
        <v>43</v>
      </c>
      <c r="I49" s="442"/>
      <c r="J49" s="349">
        <v>6005</v>
      </c>
      <c r="K49" s="464">
        <v>0.33300000000000002</v>
      </c>
      <c r="L49" s="416" t="str">
        <f>VLOOKUP($J49,[18]Nod!$A$3:$E$981,4,FALSE)</f>
        <v>CHO230</v>
      </c>
      <c r="M49" s="416">
        <f>VLOOKUP($J49,[18]Nod!$A$3:$E$981,5,FALSE)</f>
        <v>6</v>
      </c>
    </row>
    <row r="50" spans="1:13" ht="15" customHeight="1">
      <c r="A50" s="343" t="s">
        <v>178</v>
      </c>
      <c r="B50" s="344" t="s">
        <v>150</v>
      </c>
      <c r="C50" s="349">
        <v>6087</v>
      </c>
      <c r="D50" s="438">
        <v>9.73</v>
      </c>
      <c r="E50" s="351">
        <v>0</v>
      </c>
      <c r="F50" s="435" t="str">
        <f>IFERROR(VLOOKUP($C50,[18]Nod!$A$3:$E$982,4,FALSE)," ")</f>
        <v>CAL115</v>
      </c>
      <c r="G50" s="435">
        <f>IFERROR(VLOOKUP($C50,[18]Nod!$A$3:$E$982,5,FALSE)," ")</f>
        <v>3</v>
      </c>
      <c r="H50" s="444" t="s">
        <v>31</v>
      </c>
      <c r="I50" s="445"/>
      <c r="J50" s="446"/>
      <c r="K50" s="443"/>
      <c r="L50" s="416"/>
      <c r="M50" s="416"/>
    </row>
    <row r="51" spans="1:13" ht="15" customHeight="1">
      <c r="A51" s="346" t="s">
        <v>179</v>
      </c>
      <c r="B51" s="344" t="s">
        <v>150</v>
      </c>
      <c r="C51" s="349">
        <v>6087</v>
      </c>
      <c r="D51" s="438">
        <v>7.8</v>
      </c>
      <c r="E51" s="351">
        <v>0</v>
      </c>
      <c r="F51" s="435" t="str">
        <f>IFERROR(VLOOKUP($C51,[18]Nod!$A$3:$E$982,4,FALSE)," ")</f>
        <v>CAL115</v>
      </c>
      <c r="G51" s="435">
        <f>IFERROR(VLOOKUP($C51,[18]Nod!$A$3:$E$982,5,FALSE)," ")</f>
        <v>3</v>
      </c>
      <c r="H51" s="447">
        <v>7</v>
      </c>
      <c r="I51" s="437"/>
      <c r="J51" s="432"/>
      <c r="K51" s="433">
        <f>SUM(K52:K69)</f>
        <v>1044.2144864999998</v>
      </c>
      <c r="L51" s="416"/>
      <c r="M51" s="416"/>
    </row>
    <row r="52" spans="1:13" ht="15" customHeight="1">
      <c r="A52" s="346" t="s">
        <v>324</v>
      </c>
      <c r="B52" s="344" t="s">
        <v>156</v>
      </c>
      <c r="C52" s="349">
        <v>6087</v>
      </c>
      <c r="D52" s="514">
        <v>5</v>
      </c>
      <c r="E52" s="351"/>
      <c r="F52" s="435" t="str">
        <f>IFERROR(VLOOKUP($C52,[18]Nod!$A$3:$E$982,4,FALSE)," ")</f>
        <v>CAL115</v>
      </c>
      <c r="G52" s="435">
        <f>IFERROR(VLOOKUP($C52,[18]Nod!$A$3:$E$982,5,FALSE)," ")</f>
        <v>3</v>
      </c>
      <c r="H52" s="439" t="s">
        <v>35</v>
      </c>
      <c r="I52" s="362"/>
      <c r="J52" s="440"/>
      <c r="K52" s="323"/>
      <c r="L52" s="416"/>
      <c r="M52" s="416"/>
    </row>
    <row r="53" spans="1:13" ht="15" customHeight="1">
      <c r="A53" s="346" t="s">
        <v>325</v>
      </c>
      <c r="B53" s="344" t="s">
        <v>156</v>
      </c>
      <c r="C53" s="349">
        <v>6087</v>
      </c>
      <c r="D53" s="438">
        <v>8.58</v>
      </c>
      <c r="E53" s="351">
        <v>0</v>
      </c>
      <c r="F53" s="435" t="str">
        <f>IFERROR(VLOOKUP($C53,[18]Nod!$A$3:$E$982,4,FALSE)," ")</f>
        <v>CAL115</v>
      </c>
      <c r="G53" s="435">
        <f>IFERROR(VLOOKUP($C53,[18]Nod!$A$3:$E$982,5,FALSE)," ")</f>
        <v>3</v>
      </c>
      <c r="H53" s="449" t="s">
        <v>45</v>
      </c>
      <c r="I53" s="442"/>
      <c r="J53" s="349">
        <v>6002</v>
      </c>
      <c r="K53" s="464">
        <v>500.36</v>
      </c>
      <c r="L53" s="416" t="str">
        <f>VLOOKUP($J53,[18]Nod!$A$3:$E$981,4,FALSE)</f>
        <v>PAN115</v>
      </c>
      <c r="M53" s="416">
        <f>VLOOKUP($J53,[18]Nod!$A$3:$E$981,5,FALSE)</f>
        <v>7</v>
      </c>
    </row>
    <row r="54" spans="1:13" ht="15" customHeight="1">
      <c r="A54" s="346" t="s">
        <v>180</v>
      </c>
      <c r="B54" s="344" t="s">
        <v>156</v>
      </c>
      <c r="C54" s="349">
        <v>6087</v>
      </c>
      <c r="D54" s="438">
        <v>8.58</v>
      </c>
      <c r="E54" s="351">
        <v>0</v>
      </c>
      <c r="F54" s="435" t="str">
        <f>IFERROR(VLOOKUP($C54,[18]Nod!$A$3:$E$982,4,FALSE)," ")</f>
        <v>CAL115</v>
      </c>
      <c r="G54" s="435">
        <f>IFERROR(VLOOKUP($C54,[18]Nod!$A$3:$E$982,5,FALSE)," ")</f>
        <v>3</v>
      </c>
      <c r="H54" s="465" t="s">
        <v>140</v>
      </c>
      <c r="I54" s="362"/>
      <c r="J54" s="440"/>
      <c r="K54" s="323"/>
      <c r="L54" s="416"/>
      <c r="M54" s="416"/>
    </row>
    <row r="55" spans="1:13" ht="15" customHeight="1">
      <c r="A55" s="346" t="s">
        <v>181</v>
      </c>
      <c r="B55" s="344" t="s">
        <v>156</v>
      </c>
      <c r="C55" s="349">
        <v>6087</v>
      </c>
      <c r="D55" s="438">
        <v>8.58</v>
      </c>
      <c r="E55" s="351">
        <v>0</v>
      </c>
      <c r="F55" s="435" t="str">
        <f>IFERROR(VLOOKUP($C55,[18]Nod!$A$3:$E$982,4,FALSE)," ")</f>
        <v>CAL115</v>
      </c>
      <c r="G55" s="435">
        <f>IFERROR(VLOOKUP($C55,[18]Nod!$A$3:$E$982,5,FALSE)," ")</f>
        <v>3</v>
      </c>
      <c r="H55" s="449" t="s">
        <v>49</v>
      </c>
      <c r="I55" s="442"/>
      <c r="J55" s="349">
        <v>6002</v>
      </c>
      <c r="K55" s="464">
        <v>0.36599999999999999</v>
      </c>
      <c r="L55" s="416" t="str">
        <f>VLOOKUP($J55,[18]Nod!$A$3:$E$981,4,FALSE)</f>
        <v>PAN115</v>
      </c>
      <c r="M55" s="416">
        <f>VLOOKUP($J55,[18]Nod!$A$3:$E$981,5,FALSE)</f>
        <v>7</v>
      </c>
    </row>
    <row r="56" spans="1:13" ht="15" customHeight="1">
      <c r="A56" s="347" t="s">
        <v>182</v>
      </c>
      <c r="B56" s="344" t="s">
        <v>156</v>
      </c>
      <c r="C56" s="349">
        <v>6087</v>
      </c>
      <c r="D56" s="438">
        <v>8.58</v>
      </c>
      <c r="E56" s="351">
        <v>0</v>
      </c>
      <c r="F56" s="435" t="str">
        <f>IFERROR(VLOOKUP($C56,[18]Nod!$A$3:$E$982,4,FALSE)," ")</f>
        <v>CAL115</v>
      </c>
      <c r="G56" s="435">
        <f>IFERROR(VLOOKUP($C56,[18]Nod!$A$3:$E$982,5,FALSE)," ")</f>
        <v>3</v>
      </c>
      <c r="H56" s="449" t="s">
        <v>143</v>
      </c>
      <c r="I56" s="442"/>
      <c r="J56" s="349">
        <v>6002</v>
      </c>
      <c r="K56" s="464">
        <v>1.2148865</v>
      </c>
      <c r="L56" s="416" t="str">
        <f>VLOOKUP($J56,[18]Nod!$A$3:$E$981,4,FALSE)</f>
        <v>PAN115</v>
      </c>
      <c r="M56" s="416">
        <f>VLOOKUP($J56,[18]Nod!$A$3:$E$981,5,FALSE)</f>
        <v>7</v>
      </c>
    </row>
    <row r="57" spans="1:13" ht="15" customHeight="1">
      <c r="A57" s="460" t="s">
        <v>31</v>
      </c>
      <c r="B57" s="445"/>
      <c r="C57" s="446"/>
      <c r="D57" s="446"/>
      <c r="E57" s="461"/>
      <c r="F57" s="435" t="str">
        <f>IFERROR(VLOOKUP($C57,[18]Nod!$A$3:$E$982,4,FALSE)," ")</f>
        <v xml:space="preserve"> </v>
      </c>
      <c r="G57" s="435" t="str">
        <f>IFERROR(VLOOKUP($C57,[18]Nod!$A$3:$E$982,5,FALSE)," ")</f>
        <v xml:space="preserve"> </v>
      </c>
      <c r="H57" s="449" t="s">
        <v>51</v>
      </c>
      <c r="I57" s="442"/>
      <c r="J57" s="349">
        <v>6002</v>
      </c>
      <c r="K57" s="464">
        <v>0.32300000000000001</v>
      </c>
      <c r="L57" s="416" t="str">
        <f>VLOOKUP($J57,[18]Nod!$A$3:$E$981,4,FALSE)</f>
        <v>PAN115</v>
      </c>
      <c r="M57" s="416">
        <f>VLOOKUP($J57,[18]Nod!$A$3:$E$981,5,FALSE)</f>
        <v>7</v>
      </c>
    </row>
    <row r="58" spans="1:13" ht="15" customHeight="1">
      <c r="A58" s="436">
        <v>4</v>
      </c>
      <c r="B58" s="437"/>
      <c r="C58" s="432"/>
      <c r="D58" s="433">
        <f>SUM(D59:D115)</f>
        <v>764.84999999999968</v>
      </c>
      <c r="E58" s="434"/>
      <c r="F58" s="435" t="str">
        <f>IFERROR(VLOOKUP($C58,[18]Nod!$A$3:$E$982,4,FALSE)," ")</f>
        <v xml:space="preserve"> </v>
      </c>
      <c r="G58" s="435" t="str">
        <f>IFERROR(VLOOKUP($C58,[18]Nod!$A$3:$E$982,5,FALSE)," ")</f>
        <v xml:space="preserve"> </v>
      </c>
      <c r="H58" s="449" t="s">
        <v>52</v>
      </c>
      <c r="I58" s="442"/>
      <c r="J58" s="349">
        <v>6002</v>
      </c>
      <c r="K58" s="464"/>
      <c r="L58" s="416" t="str">
        <f>VLOOKUP($J58,[18]Nod!$A$3:$E$981,4,FALSE)</f>
        <v>PAN115</v>
      </c>
      <c r="M58" s="416">
        <f>VLOOKUP($J58,[18]Nod!$A$3:$E$981,5,FALSE)</f>
        <v>7</v>
      </c>
    </row>
    <row r="59" spans="1:13" ht="15" customHeight="1">
      <c r="A59" s="343" t="s">
        <v>183</v>
      </c>
      <c r="B59" s="344" t="s">
        <v>150</v>
      </c>
      <c r="C59" s="349">
        <v>6380</v>
      </c>
      <c r="D59" s="438">
        <v>10</v>
      </c>
      <c r="E59" s="351">
        <v>0</v>
      </c>
      <c r="F59" s="435" t="str">
        <f>IFERROR(VLOOKUP($C59,[18]Nod!$A$3:$E$982,4,FALSE)," ")</f>
        <v>BOQIII230</v>
      </c>
      <c r="G59" s="435">
        <f>IFERROR(VLOOKUP($C59,[18]Nod!$A$3:$E$982,5,FALSE)," ")</f>
        <v>4</v>
      </c>
      <c r="H59" s="441" t="s">
        <v>37</v>
      </c>
      <c r="I59" s="442"/>
      <c r="J59" s="349">
        <v>6002</v>
      </c>
      <c r="K59" s="464">
        <v>1.33</v>
      </c>
      <c r="L59" s="416" t="str">
        <f>VLOOKUP($J59,[18]Nod!$A$3:$E$981,4,FALSE)</f>
        <v>PAN115</v>
      </c>
      <c r="M59" s="416">
        <f>VLOOKUP($J59,[18]Nod!$A$3:$E$981,5,FALSE)</f>
        <v>7</v>
      </c>
    </row>
    <row r="60" spans="1:13" ht="15" customHeight="1">
      <c r="A60" s="343" t="s">
        <v>184</v>
      </c>
      <c r="B60" s="344" t="s">
        <v>150</v>
      </c>
      <c r="C60" s="349">
        <v>6380</v>
      </c>
      <c r="D60" s="438">
        <v>5.8</v>
      </c>
      <c r="E60" s="351">
        <v>0</v>
      </c>
      <c r="F60" s="435" t="str">
        <f>IFERROR(VLOOKUP($C60,[18]Nod!$A$3:$E$982,4,FALSE)," ")</f>
        <v>BOQIII230</v>
      </c>
      <c r="G60" s="435">
        <f>IFERROR(VLOOKUP($C60,[18]Nod!$A$3:$E$982,5,FALSE)," ")</f>
        <v>4</v>
      </c>
      <c r="H60" s="466"/>
      <c r="I60" s="362"/>
      <c r="J60" s="440"/>
      <c r="K60" s="323"/>
      <c r="L60" s="416"/>
      <c r="M60" s="416"/>
    </row>
    <row r="61" spans="1:13" ht="15" customHeight="1">
      <c r="A61" s="343" t="s">
        <v>185</v>
      </c>
      <c r="B61" s="344" t="s">
        <v>150</v>
      </c>
      <c r="C61" s="349">
        <v>6013</v>
      </c>
      <c r="D61" s="438">
        <v>6</v>
      </c>
      <c r="E61" s="351">
        <v>0</v>
      </c>
      <c r="F61" s="435" t="str">
        <f>IFERROR(VLOOKUP($C61,[18]Nod!$A$3:$E$982,4,FALSE)," ")</f>
        <v>MDN34</v>
      </c>
      <c r="G61" s="435">
        <f>IFERROR(VLOOKUP($C61,[18]Nod!$A$3:$E$982,5,FALSE)," ")</f>
        <v>4</v>
      </c>
      <c r="H61" s="465" t="s">
        <v>44</v>
      </c>
      <c r="I61" s="362"/>
      <c r="J61" s="440"/>
      <c r="K61" s="323"/>
      <c r="L61" s="416"/>
      <c r="M61" s="416"/>
    </row>
    <row r="62" spans="1:13" ht="15" customHeight="1">
      <c r="A62" s="343" t="s">
        <v>186</v>
      </c>
      <c r="B62" s="344" t="s">
        <v>150</v>
      </c>
      <c r="C62" s="349">
        <v>6013</v>
      </c>
      <c r="D62" s="514"/>
      <c r="E62" s="351">
        <v>0</v>
      </c>
      <c r="F62" s="435" t="str">
        <f>IFERROR(VLOOKUP($C62,[18]Nod!$A$3:$E$982,4,FALSE)," ")</f>
        <v>MDN34</v>
      </c>
      <c r="G62" s="435">
        <f>IFERROR(VLOOKUP($C62,[18]Nod!$A$3:$E$982,5,FALSE)," ")</f>
        <v>4</v>
      </c>
      <c r="H62" s="449" t="s">
        <v>45</v>
      </c>
      <c r="I62" s="442"/>
      <c r="J62" s="349">
        <v>6002</v>
      </c>
      <c r="K62" s="464">
        <v>202.7</v>
      </c>
      <c r="L62" s="416" t="str">
        <f>VLOOKUP($J62,[18]Nod!$A$3:$E$981,4,FALSE)</f>
        <v>PAN115</v>
      </c>
      <c r="M62" s="416">
        <f>VLOOKUP($J62,[18]Nod!$A$3:$E$981,5,FALSE)</f>
        <v>7</v>
      </c>
    </row>
    <row r="63" spans="1:13" ht="15" customHeight="1">
      <c r="A63" s="343" t="s">
        <v>187</v>
      </c>
      <c r="B63" s="344" t="s">
        <v>150</v>
      </c>
      <c r="C63" s="349">
        <v>6380</v>
      </c>
      <c r="D63" s="438">
        <v>20.100000000000001</v>
      </c>
      <c r="E63" s="351">
        <v>0</v>
      </c>
      <c r="F63" s="435" t="str">
        <f>IFERROR(VLOOKUP($C63,[18]Nod!$A$3:$E$982,4,FALSE)," ")</f>
        <v>BOQIII230</v>
      </c>
      <c r="G63" s="435">
        <f>IFERROR(VLOOKUP($C63,[18]Nod!$A$3:$E$982,5,FALSE)," ")</f>
        <v>4</v>
      </c>
      <c r="H63" s="449" t="s">
        <v>46</v>
      </c>
      <c r="I63" s="442"/>
      <c r="J63" s="349">
        <v>6002</v>
      </c>
      <c r="K63" s="464">
        <v>269.39999999999998</v>
      </c>
      <c r="L63" s="416" t="str">
        <f>VLOOKUP($J63,[18]Nod!$A$3:$E$981,4,FALSE)</f>
        <v>PAN115</v>
      </c>
      <c r="M63" s="416">
        <f>VLOOKUP($J63,[18]Nod!$A$3:$E$981,5,FALSE)</f>
        <v>7</v>
      </c>
    </row>
    <row r="64" spans="1:13" ht="15" customHeight="1">
      <c r="A64" s="343" t="s">
        <v>188</v>
      </c>
      <c r="B64" s="344" t="s">
        <v>150</v>
      </c>
      <c r="C64" s="349">
        <v>6380</v>
      </c>
      <c r="D64" s="438">
        <v>12.52</v>
      </c>
      <c r="E64" s="351">
        <v>0</v>
      </c>
      <c r="F64" s="435" t="str">
        <f>IFERROR(VLOOKUP($C64,[18]Nod!$A$3:$E$982,4,FALSE)," ")</f>
        <v>BOQIII230</v>
      </c>
      <c r="G64" s="435">
        <f>IFERROR(VLOOKUP($C64,[18]Nod!$A$3:$E$982,5,FALSE)," ")</f>
        <v>4</v>
      </c>
      <c r="H64" s="449" t="s">
        <v>47</v>
      </c>
      <c r="I64" s="442"/>
      <c r="J64" s="349">
        <v>6470</v>
      </c>
      <c r="K64" s="464">
        <v>43.1</v>
      </c>
      <c r="L64" s="416" t="str">
        <f>VLOOKUP($J64,[18]Nod!$A$3:$E$981,4,FALSE)</f>
        <v>24DIC230</v>
      </c>
      <c r="M64" s="416">
        <f>VLOOKUP($J64,[18]Nod!$A$3:$E$981,5,FALSE)</f>
        <v>7</v>
      </c>
    </row>
    <row r="65" spans="1:13" ht="15" customHeight="1">
      <c r="A65" s="343" t="s">
        <v>189</v>
      </c>
      <c r="B65" s="344" t="s">
        <v>150</v>
      </c>
      <c r="C65" s="349">
        <v>6380</v>
      </c>
      <c r="D65" s="438">
        <v>14</v>
      </c>
      <c r="E65" s="351">
        <v>0</v>
      </c>
      <c r="F65" s="435" t="str">
        <f>IFERROR(VLOOKUP($C65,[18]Nod!$A$3:$E$982,4,FALSE)," ")</f>
        <v>BOQIII230</v>
      </c>
      <c r="G65" s="435">
        <f>IFERROR(VLOOKUP($C65,[18]Nod!$A$3:$E$982,5,FALSE)," ")</f>
        <v>4</v>
      </c>
      <c r="H65" s="465" t="s">
        <v>139</v>
      </c>
      <c r="I65" s="362"/>
      <c r="J65" s="440"/>
      <c r="K65" s="323"/>
      <c r="L65" s="416"/>
      <c r="M65" s="416"/>
    </row>
    <row r="66" spans="1:13" ht="15" customHeight="1">
      <c r="A66" s="343" t="s">
        <v>190</v>
      </c>
      <c r="B66" s="344" t="s">
        <v>150</v>
      </c>
      <c r="C66" s="467">
        <v>6013</v>
      </c>
      <c r="D66" s="514"/>
      <c r="E66" s="351">
        <v>0</v>
      </c>
      <c r="F66" s="435" t="str">
        <f>IFERROR(VLOOKUP($C66,[18]Nod!$A$3:$E$982,4,FALSE)," ")</f>
        <v>MDN34</v>
      </c>
      <c r="G66" s="435">
        <f>IFERROR(VLOOKUP($C66,[18]Nod!$A$3:$E$982,5,FALSE)," ")</f>
        <v>4</v>
      </c>
      <c r="H66" s="449" t="s">
        <v>48</v>
      </c>
      <c r="I66" s="442"/>
      <c r="J66" s="349">
        <v>6024</v>
      </c>
      <c r="K66" s="464">
        <v>22.443999999999999</v>
      </c>
      <c r="L66" s="416" t="str">
        <f>VLOOKUP($J66,[18]Nod!$A$3:$E$981,4,FALSE)</f>
        <v>CHI115</v>
      </c>
      <c r="M66" s="416">
        <f>VLOOKUP($J66,[18]Nod!$A$3:$E$981,5,FALSE)</f>
        <v>7</v>
      </c>
    </row>
    <row r="67" spans="1:13" ht="15" customHeight="1">
      <c r="A67" s="343" t="s">
        <v>191</v>
      </c>
      <c r="B67" s="344" t="s">
        <v>150</v>
      </c>
      <c r="C67" s="467">
        <v>6013</v>
      </c>
      <c r="D67" s="514"/>
      <c r="E67" s="351">
        <v>0</v>
      </c>
      <c r="F67" s="435" t="str">
        <f>IFERROR(VLOOKUP($C67,[18]Nod!$A$3:$E$982,4,FALSE)," ")</f>
        <v>MDN34</v>
      </c>
      <c r="G67" s="435">
        <f>IFERROR(VLOOKUP($C67,[18]Nod!$A$3:$E$982,5,FALSE)," ")</f>
        <v>4</v>
      </c>
      <c r="H67" s="449" t="s">
        <v>50</v>
      </c>
      <c r="I67" s="442"/>
      <c r="J67" s="349">
        <v>6002</v>
      </c>
      <c r="K67" s="464">
        <v>0.18659999999999999</v>
      </c>
      <c r="L67" s="416" t="str">
        <f>VLOOKUP($J67,[18]Nod!$A$3:$E$981,4,FALSE)</f>
        <v>PAN115</v>
      </c>
      <c r="M67" s="416">
        <f>VLOOKUP($J67,[18]Nod!$A$3:$E$981,5,FALSE)</f>
        <v>7</v>
      </c>
    </row>
    <row r="68" spans="1:13" ht="15" customHeight="1">
      <c r="A68" s="343" t="s">
        <v>192</v>
      </c>
      <c r="B68" s="344" t="s">
        <v>150</v>
      </c>
      <c r="C68" s="349">
        <v>6380</v>
      </c>
      <c r="D68" s="438">
        <v>10</v>
      </c>
      <c r="E68" s="351">
        <v>0</v>
      </c>
      <c r="F68" s="435" t="str">
        <f>IFERROR(VLOOKUP($C68,[18]Nod!$A$3:$E$982,4,FALSE)," ")</f>
        <v>BOQIII230</v>
      </c>
      <c r="G68" s="435">
        <f>IFERROR(VLOOKUP($C68,[18]Nod!$A$3:$E$982,5,FALSE)," ")</f>
        <v>4</v>
      </c>
      <c r="H68" s="449" t="s">
        <v>53</v>
      </c>
      <c r="I68" s="442"/>
      <c r="J68" s="349">
        <v>6002</v>
      </c>
      <c r="K68" s="464"/>
      <c r="L68" s="416" t="str">
        <f>VLOOKUP($J68,[18]Nod!$A$3:$E$981,4,FALSE)</f>
        <v>PAN115</v>
      </c>
      <c r="M68" s="416">
        <f>VLOOKUP($J68,[18]Nod!$A$3:$E$981,5,FALSE)</f>
        <v>7</v>
      </c>
    </row>
    <row r="69" spans="1:13" ht="15" customHeight="1">
      <c r="A69" s="343" t="s">
        <v>193</v>
      </c>
      <c r="B69" s="344" t="s">
        <v>150</v>
      </c>
      <c r="C69" s="349">
        <v>6380</v>
      </c>
      <c r="D69" s="438">
        <v>10</v>
      </c>
      <c r="E69" s="351">
        <v>0</v>
      </c>
      <c r="F69" s="435" t="str">
        <f>IFERROR(VLOOKUP($C69,[18]Nod!$A$3:$E$982,4,FALSE)," ")</f>
        <v>BOQIII230</v>
      </c>
      <c r="G69" s="435">
        <f>IFERROR(VLOOKUP($C69,[18]Nod!$A$3:$E$982,5,FALSE)," ")</f>
        <v>4</v>
      </c>
      <c r="H69" s="441" t="s">
        <v>37</v>
      </c>
      <c r="I69" s="442"/>
      <c r="J69" s="349">
        <v>6002</v>
      </c>
      <c r="K69" s="464">
        <v>2.79</v>
      </c>
      <c r="L69" s="416" t="str">
        <f>VLOOKUP($J69,[18]Nod!$A$3:$E$981,4,FALSE)</f>
        <v>PAN115</v>
      </c>
      <c r="M69" s="416">
        <f>VLOOKUP($J69,[18]Nod!$A$3:$E$981,5,FALSE)</f>
        <v>7</v>
      </c>
    </row>
    <row r="70" spans="1:13" ht="15" customHeight="1">
      <c r="A70" s="343" t="s">
        <v>194</v>
      </c>
      <c r="B70" s="344" t="s">
        <v>150</v>
      </c>
      <c r="C70" s="349">
        <v>6013</v>
      </c>
      <c r="D70" s="438">
        <v>51.65</v>
      </c>
      <c r="E70" s="351">
        <v>0</v>
      </c>
      <c r="F70" s="435" t="str">
        <f>IFERROR(VLOOKUP($C70,[18]Nod!$A$3:$E$982,4,FALSE)," ")</f>
        <v>MDN34</v>
      </c>
      <c r="G70" s="435">
        <f>IFERROR(VLOOKUP($C70,[18]Nod!$A$3:$E$982,5,FALSE)," ")</f>
        <v>4</v>
      </c>
      <c r="H70" s="444" t="s">
        <v>31</v>
      </c>
      <c r="I70" s="445"/>
      <c r="J70" s="446"/>
      <c r="K70" s="323"/>
      <c r="L70" s="416"/>
      <c r="M70" s="416"/>
    </row>
    <row r="71" spans="1:13" ht="15" customHeight="1">
      <c r="A71" s="343" t="s">
        <v>195</v>
      </c>
      <c r="B71" s="344" t="s">
        <v>150</v>
      </c>
      <c r="C71" s="349">
        <v>6182</v>
      </c>
      <c r="D71" s="438">
        <v>32.6</v>
      </c>
      <c r="E71" s="351">
        <v>0</v>
      </c>
      <c r="F71" s="435" t="str">
        <f>IFERROR(VLOOKUP($C71,[18]Nod!$A$3:$E$982,4,FALSE)," ")</f>
        <v>VEL230</v>
      </c>
      <c r="G71" s="435">
        <f>IFERROR(VLOOKUP($C71,[18]Nod!$A$3:$E$982,5,FALSE)," ")</f>
        <v>4</v>
      </c>
      <c r="H71" s="447">
        <v>8</v>
      </c>
      <c r="I71" s="437"/>
      <c r="J71" s="432"/>
      <c r="K71" s="433">
        <f>SUM(K72:K73)</f>
        <v>1.6</v>
      </c>
      <c r="L71" s="416"/>
      <c r="M71" s="416"/>
    </row>
    <row r="72" spans="1:13" ht="15" customHeight="1">
      <c r="A72" s="343" t="s">
        <v>196</v>
      </c>
      <c r="B72" s="344" t="s">
        <v>150</v>
      </c>
      <c r="C72" s="349">
        <v>6182</v>
      </c>
      <c r="D72" s="438">
        <v>5.12</v>
      </c>
      <c r="E72" s="351">
        <v>0</v>
      </c>
      <c r="F72" s="435" t="str">
        <f>IFERROR(VLOOKUP($C72,[18]Nod!$A$3:$E$982,4,FALSE)," ")</f>
        <v>VEL230</v>
      </c>
      <c r="G72" s="435">
        <f>IFERROR(VLOOKUP($C72,[18]Nod!$A$3:$E$982,5,FALSE)," ")</f>
        <v>4</v>
      </c>
      <c r="H72" s="439" t="s">
        <v>44</v>
      </c>
      <c r="I72" s="362"/>
      <c r="J72" s="440"/>
      <c r="K72" s="323"/>
      <c r="L72" s="416"/>
      <c r="M72" s="416"/>
    </row>
    <row r="73" spans="1:13" ht="15" customHeight="1">
      <c r="A73" s="343" t="s">
        <v>197</v>
      </c>
      <c r="B73" s="344" t="s">
        <v>150</v>
      </c>
      <c r="C73" s="349">
        <v>6380</v>
      </c>
      <c r="D73" s="438">
        <v>5.86</v>
      </c>
      <c r="E73" s="351">
        <v>0</v>
      </c>
      <c r="F73" s="435" t="str">
        <f>IFERROR(VLOOKUP($C73,[18]Nod!$A$3:$E$982,4,FALSE)," ")</f>
        <v>BOQIII230</v>
      </c>
      <c r="G73" s="435">
        <f>IFERROR(VLOOKUP($C73,[18]Nod!$A$3:$E$982,5,FALSE)," ")</f>
        <v>4</v>
      </c>
      <c r="H73" s="469" t="s">
        <v>54</v>
      </c>
      <c r="I73" s="442"/>
      <c r="J73" s="349">
        <v>6100</v>
      </c>
      <c r="K73" s="464">
        <v>1.6</v>
      </c>
      <c r="L73" s="416" t="str">
        <f>VLOOKUP($J73,[18]Nod!$A$3:$E$981,4,FALSE)</f>
        <v>BAY230</v>
      </c>
      <c r="M73" s="416">
        <f>VLOOKUP($J73,[18]Nod!$A$3:$E$981,5,FALSE)</f>
        <v>8</v>
      </c>
    </row>
    <row r="74" spans="1:13" ht="15" customHeight="1">
      <c r="A74" s="343" t="s">
        <v>198</v>
      </c>
      <c r="B74" s="344" t="s">
        <v>150</v>
      </c>
      <c r="C74" s="349">
        <v>6380</v>
      </c>
      <c r="D74" s="438">
        <v>73.180000000000007</v>
      </c>
      <c r="E74" s="351">
        <v>0</v>
      </c>
      <c r="F74" s="435" t="str">
        <f>IFERROR(VLOOKUP($C74,[18]Nod!$A$3:$E$982,4,FALSE)," ")</f>
        <v>BOQIII230</v>
      </c>
      <c r="G74" s="435">
        <f>IFERROR(VLOOKUP($C74,[18]Nod!$A$3:$E$982,5,FALSE)," ")</f>
        <v>4</v>
      </c>
      <c r="H74" s="444" t="s">
        <v>31</v>
      </c>
      <c r="I74" s="445"/>
      <c r="J74" s="446"/>
      <c r="K74" s="323"/>
      <c r="L74" s="416"/>
      <c r="M74" s="416"/>
    </row>
    <row r="75" spans="1:13" ht="15" customHeight="1">
      <c r="A75" s="343" t="s">
        <v>199</v>
      </c>
      <c r="B75" s="344" t="s">
        <v>150</v>
      </c>
      <c r="C75" s="349">
        <v>6182</v>
      </c>
      <c r="D75" s="438">
        <v>6.3</v>
      </c>
      <c r="E75" s="351">
        <v>0</v>
      </c>
      <c r="F75" s="435" t="str">
        <f>IFERROR(VLOOKUP($C75,[18]Nod!$A$3:$E$982,4,FALSE)," ")</f>
        <v>VEL230</v>
      </c>
      <c r="G75" s="435">
        <f>IFERROR(VLOOKUP($C75,[18]Nod!$A$3:$E$982,5,FALSE)," ")</f>
        <v>4</v>
      </c>
      <c r="H75" s="447">
        <v>9</v>
      </c>
      <c r="I75" s="437"/>
      <c r="J75" s="432"/>
      <c r="K75" s="433">
        <f>SUM(K76:K80)</f>
        <v>150.142</v>
      </c>
      <c r="L75" s="416"/>
      <c r="M75" s="416"/>
    </row>
    <row r="76" spans="1:13" ht="15" customHeight="1">
      <c r="A76" s="343" t="s">
        <v>200</v>
      </c>
      <c r="B76" s="344" t="s">
        <v>150</v>
      </c>
      <c r="C76" s="470">
        <v>6380</v>
      </c>
      <c r="D76" s="438">
        <v>8.89</v>
      </c>
      <c r="E76" s="471">
        <v>0</v>
      </c>
      <c r="F76" s="435" t="str">
        <f>IFERROR(VLOOKUP($C76,[18]Nod!$A$3:$E$982,4,FALSE)," ")</f>
        <v>BOQIII230</v>
      </c>
      <c r="G76" s="435">
        <f>IFERROR(VLOOKUP($C76,[18]Nod!$A$3:$E$982,5,FALSE)," ")</f>
        <v>4</v>
      </c>
      <c r="H76" s="439" t="s">
        <v>44</v>
      </c>
      <c r="I76" s="362"/>
      <c r="J76" s="440"/>
      <c r="K76" s="323"/>
      <c r="L76" s="416"/>
      <c r="M76" s="416"/>
    </row>
    <row r="77" spans="1:13" ht="15" customHeight="1">
      <c r="A77" s="343" t="s">
        <v>201</v>
      </c>
      <c r="B77" s="344" t="s">
        <v>156</v>
      </c>
      <c r="C77" s="470">
        <v>6013</v>
      </c>
      <c r="D77" s="438">
        <v>9</v>
      </c>
      <c r="E77" s="471">
        <v>0</v>
      </c>
      <c r="F77" s="435" t="str">
        <f>IFERROR(VLOOKUP($C77,[18]Nod!$A$3:$E$982,4,FALSE)," ")</f>
        <v>MDN34</v>
      </c>
      <c r="G77" s="435">
        <f>IFERROR(VLOOKUP($C77,[18]Nod!$A$3:$E$982,5,FALSE)," ")</f>
        <v>4</v>
      </c>
      <c r="H77" s="441" t="s">
        <v>55</v>
      </c>
      <c r="I77" s="442"/>
      <c r="J77" s="349">
        <v>6059</v>
      </c>
      <c r="K77" s="464">
        <v>142.19999999999999</v>
      </c>
      <c r="L77" s="416" t="str">
        <f>VLOOKUP($J77,[18]Nod!$A$3:$E$981,4,FALSE)</f>
        <v>LM1115</v>
      </c>
      <c r="M77" s="416">
        <f>VLOOKUP($J77,[18]Nod!$A$3:$E$981,5,FALSE)</f>
        <v>9</v>
      </c>
    </row>
    <row r="78" spans="1:13" ht="15" customHeight="1">
      <c r="A78" s="343" t="s">
        <v>202</v>
      </c>
      <c r="B78" s="344" t="s">
        <v>150</v>
      </c>
      <c r="C78" s="467">
        <v>6013</v>
      </c>
      <c r="D78" s="438">
        <v>19.8</v>
      </c>
      <c r="E78" s="351">
        <v>0</v>
      </c>
      <c r="F78" s="435" t="str">
        <f>IFERROR(VLOOKUP($C78,[18]Nod!$A$3:$E$982,4,FALSE)," ")</f>
        <v>MDN34</v>
      </c>
      <c r="G78" s="435">
        <f>IFERROR(VLOOKUP($C78,[18]Nod!$A$3:$E$982,5,FALSE)," ")</f>
        <v>4</v>
      </c>
      <c r="H78" s="439" t="s">
        <v>36</v>
      </c>
      <c r="I78" s="362"/>
      <c r="J78" s="440"/>
      <c r="K78" s="323"/>
      <c r="L78" s="416"/>
      <c r="M78" s="416"/>
    </row>
    <row r="79" spans="1:13" ht="15" customHeight="1">
      <c r="A79" s="343" t="s">
        <v>203</v>
      </c>
      <c r="B79" s="344" t="s">
        <v>156</v>
      </c>
      <c r="C79" s="467">
        <v>6520</v>
      </c>
      <c r="D79" s="514"/>
      <c r="E79" s="351">
        <v>0</v>
      </c>
      <c r="F79" s="435" t="str">
        <f>IFERROR(VLOOKUP($C79,[18]Nod!$A$3:$E$982,4,FALSE)," ")</f>
        <v>SBA230</v>
      </c>
      <c r="G79" s="435">
        <f>IFERROR(VLOOKUP($C79,[18]Nod!$A$3:$E$982,5,FALSE)," ")</f>
        <v>4</v>
      </c>
      <c r="H79" s="441" t="s">
        <v>56</v>
      </c>
      <c r="I79" s="442"/>
      <c r="J79" s="349">
        <v>6170</v>
      </c>
      <c r="K79" s="464">
        <v>7.25</v>
      </c>
      <c r="L79" s="416" t="str">
        <f>VLOOKUP($J79,[18]Nod!$A$3:$E$981,4,FALSE)</f>
        <v>CPA115</v>
      </c>
      <c r="M79" s="416">
        <f>VLOOKUP($J79,[18]Nod!$A$3:$E$981,5,FALSE)</f>
        <v>9</v>
      </c>
    </row>
    <row r="80" spans="1:13" ht="15" customHeight="1">
      <c r="A80" s="343" t="s">
        <v>204</v>
      </c>
      <c r="B80" s="344" t="s">
        <v>150</v>
      </c>
      <c r="C80" s="467">
        <v>6550</v>
      </c>
      <c r="D80" s="438">
        <v>7.62</v>
      </c>
      <c r="E80" s="351">
        <v>0</v>
      </c>
      <c r="F80" s="435" t="str">
        <f>IFERROR(VLOOKUP($C80,[18]Nod!$A$3:$E$982,4,FALSE)," ")</f>
        <v>BEV230</v>
      </c>
      <c r="G80" s="435">
        <f>IFERROR(VLOOKUP($C80,[18]Nod!$A$3:$E$982,5,FALSE)," ")</f>
        <v>4</v>
      </c>
      <c r="H80" s="441" t="s">
        <v>37</v>
      </c>
      <c r="I80" s="442"/>
      <c r="J80" s="349">
        <v>6059</v>
      </c>
      <c r="K80" s="464">
        <v>0.69199999999999995</v>
      </c>
      <c r="L80" s="416" t="str">
        <f>VLOOKUP($J80,[18]Nod!$A$3:$E$981,4,FALSE)</f>
        <v>LM1115</v>
      </c>
      <c r="M80" s="416">
        <f>VLOOKUP($J80,[18]Nod!$A$3:$E$981,5,FALSE)</f>
        <v>9</v>
      </c>
    </row>
    <row r="81" spans="1:13" ht="15" customHeight="1">
      <c r="A81" s="343" t="s">
        <v>205</v>
      </c>
      <c r="B81" s="344" t="s">
        <v>156</v>
      </c>
      <c r="C81" s="349">
        <v>6380</v>
      </c>
      <c r="D81" s="438">
        <v>10</v>
      </c>
      <c r="E81" s="351">
        <v>0</v>
      </c>
      <c r="F81" s="435" t="str">
        <f>IFERROR(VLOOKUP($C81,[18]Nod!$A$3:$E$982,4,FALSE)," ")</f>
        <v>BOQIII230</v>
      </c>
      <c r="G81" s="435">
        <f>IFERROR(VLOOKUP($C81,[18]Nod!$A$3:$E$982,5,FALSE)," ")</f>
        <v>4</v>
      </c>
      <c r="H81" s="444" t="s">
        <v>31</v>
      </c>
      <c r="I81" s="445"/>
      <c r="J81" s="446"/>
      <c r="K81" s="323"/>
      <c r="L81" s="416"/>
      <c r="M81" s="416"/>
    </row>
    <row r="82" spans="1:13" ht="15" customHeight="1">
      <c r="A82" s="343" t="s">
        <v>206</v>
      </c>
      <c r="B82" s="344" t="s">
        <v>156</v>
      </c>
      <c r="C82" s="349">
        <v>6380</v>
      </c>
      <c r="D82" s="438">
        <v>10</v>
      </c>
      <c r="E82" s="351">
        <v>0</v>
      </c>
      <c r="F82" s="435" t="str">
        <f>IFERROR(VLOOKUP($C82,[18]Nod!$A$3:$E$982,4,FALSE)," ")</f>
        <v>BOQIII230</v>
      </c>
      <c r="G82" s="435">
        <f>IFERROR(VLOOKUP($C82,[18]Nod!$A$3:$E$982,5,FALSE)," ")</f>
        <v>4</v>
      </c>
      <c r="H82" s="450">
        <v>10</v>
      </c>
      <c r="I82" s="431"/>
      <c r="J82" s="451"/>
      <c r="K82" s="433">
        <f>SUM(K83:K85)</f>
        <v>55.33</v>
      </c>
      <c r="L82" s="416"/>
      <c r="M82" s="416"/>
    </row>
    <row r="83" spans="1:13" ht="15" customHeight="1">
      <c r="A83" s="343" t="s">
        <v>207</v>
      </c>
      <c r="B83" s="344" t="s">
        <v>156</v>
      </c>
      <c r="C83" s="349">
        <v>6380</v>
      </c>
      <c r="D83" s="438">
        <v>10</v>
      </c>
      <c r="E83" s="351">
        <v>0</v>
      </c>
      <c r="F83" s="435" t="str">
        <f>IFERROR(VLOOKUP($C83,[18]Nod!$A$3:$E$982,4,FALSE)," ")</f>
        <v>BOQIII230</v>
      </c>
      <c r="G83" s="435">
        <f>IFERROR(VLOOKUP($C83,[18]Nod!$A$3:$E$982,5,FALSE)," ")</f>
        <v>4</v>
      </c>
      <c r="H83" s="439" t="s">
        <v>28</v>
      </c>
      <c r="I83" s="362"/>
      <c r="J83" s="440"/>
      <c r="K83" s="472"/>
      <c r="L83" s="416"/>
      <c r="M83" s="416"/>
    </row>
    <row r="84" spans="1:13" ht="15" customHeight="1">
      <c r="A84" s="343" t="s">
        <v>208</v>
      </c>
      <c r="B84" s="344" t="s">
        <v>156</v>
      </c>
      <c r="C84" s="349">
        <v>6380</v>
      </c>
      <c r="D84" s="438">
        <v>10</v>
      </c>
      <c r="E84" s="351">
        <v>0</v>
      </c>
      <c r="F84" s="435" t="str">
        <f>IFERROR(VLOOKUP($C84,[18]Nod!$A$3:$E$982,4,FALSE)," ")</f>
        <v>BOQIII230</v>
      </c>
      <c r="G84" s="435">
        <f>IFERROR(VLOOKUP($C84,[18]Nod!$A$3:$E$982,5,FALSE)," ")</f>
        <v>4</v>
      </c>
      <c r="H84" s="441" t="s">
        <v>141</v>
      </c>
      <c r="I84" s="442"/>
      <c r="J84" s="349">
        <v>6340</v>
      </c>
      <c r="K84" s="464">
        <v>28.43</v>
      </c>
      <c r="L84" s="416" t="str">
        <f>VLOOKUP($J84,[18]Nod!$A$3:$E$981,4,FALSE)</f>
        <v>CAN230</v>
      </c>
      <c r="M84" s="416">
        <f>VLOOKUP($J84,[18]Nod!$A$3:$E$981,5,FALSE)</f>
        <v>10</v>
      </c>
    </row>
    <row r="85" spans="1:13" ht="15" customHeight="1">
      <c r="A85" s="343" t="s">
        <v>209</v>
      </c>
      <c r="B85" s="344" t="s">
        <v>156</v>
      </c>
      <c r="C85" s="470">
        <v>6380</v>
      </c>
      <c r="D85" s="438">
        <v>9.9600000000000009</v>
      </c>
      <c r="E85" s="351">
        <v>0</v>
      </c>
      <c r="F85" s="435" t="str">
        <f>IFERROR(VLOOKUP($C85,[18]Nod!$A$3:$E$982,4,FALSE)," ")</f>
        <v>BOQIII230</v>
      </c>
      <c r="G85" s="435">
        <f>IFERROR(VLOOKUP($C85,[18]Nod!$A$3:$E$982,5,FALSE)," ")</f>
        <v>4</v>
      </c>
      <c r="H85" s="441" t="s">
        <v>57</v>
      </c>
      <c r="I85" s="442"/>
      <c r="J85" s="349">
        <v>6340</v>
      </c>
      <c r="K85" s="464">
        <v>26.9</v>
      </c>
      <c r="L85" s="416" t="str">
        <f>VLOOKUP($J85,[18]Nod!$A$3:$E$981,4,FALSE)</f>
        <v>CAN230</v>
      </c>
      <c r="M85" s="416">
        <f>VLOOKUP($J85,[18]Nod!$A$3:$E$981,5,FALSE)</f>
        <v>10</v>
      </c>
    </row>
    <row r="86" spans="1:13" ht="15" customHeight="1">
      <c r="A86" s="343" t="s">
        <v>210</v>
      </c>
      <c r="B86" s="344" t="s">
        <v>156</v>
      </c>
      <c r="C86" s="470">
        <v>6380</v>
      </c>
      <c r="D86" s="438">
        <v>9.9600000000000009</v>
      </c>
      <c r="E86" s="351">
        <v>0</v>
      </c>
      <c r="F86" s="435" t="str">
        <f>IFERROR(VLOOKUP($C86,[18]Nod!$A$3:$E$982,4,FALSE)," ")</f>
        <v>BOQIII230</v>
      </c>
      <c r="G86" s="435">
        <f>IFERROR(VLOOKUP($C86,[18]Nod!$A$3:$E$982,5,FALSE)," ")</f>
        <v>4</v>
      </c>
      <c r="H86" s="444" t="s">
        <v>31</v>
      </c>
      <c r="I86" s="445"/>
      <c r="J86" s="460"/>
      <c r="K86" s="321"/>
      <c r="L86" s="416"/>
      <c r="M86" s="416"/>
    </row>
    <row r="87" spans="1:13" ht="15" customHeight="1">
      <c r="A87" s="343" t="s">
        <v>327</v>
      </c>
      <c r="B87" s="344" t="s">
        <v>156</v>
      </c>
      <c r="C87" s="470">
        <v>6013</v>
      </c>
      <c r="D87" s="514">
        <v>4.75</v>
      </c>
      <c r="E87" s="351">
        <v>0</v>
      </c>
      <c r="F87" s="435" t="str">
        <f>IFERROR(VLOOKUP($C87,[18]Nod!$A$3:$E$982,4,FALSE)," ")</f>
        <v>MDN34</v>
      </c>
      <c r="G87" s="435">
        <f>IFERROR(VLOOKUP($C87,[18]Nod!$A$3:$E$982,5,FALSE)," ")</f>
        <v>4</v>
      </c>
    </row>
    <row r="88" spans="1:13" ht="25.5" customHeight="1">
      <c r="A88" s="343" t="s">
        <v>341</v>
      </c>
      <c r="B88" s="515" t="s">
        <v>342</v>
      </c>
      <c r="C88" s="470">
        <v>6013</v>
      </c>
      <c r="D88" s="514">
        <v>1.49</v>
      </c>
      <c r="E88" s="351">
        <v>0</v>
      </c>
      <c r="F88" s="435" t="str">
        <f>IFERROR(VLOOKUP($C88,[18]Nod!$A$3:$E$982,4,FALSE)," ")</f>
        <v>MDN34</v>
      </c>
      <c r="G88" s="435">
        <f>IFERROR(VLOOKUP($C88,[18]Nod!$A$3:$E$982,5,FALSE)," ")</f>
        <v>4</v>
      </c>
      <c r="L88" s="416"/>
      <c r="M88" s="416"/>
    </row>
    <row r="89" spans="1:13" ht="15" customHeight="1">
      <c r="A89" s="343" t="s">
        <v>328</v>
      </c>
      <c r="B89" s="344" t="s">
        <v>150</v>
      </c>
      <c r="C89" s="470">
        <v>6013</v>
      </c>
      <c r="D89" s="438">
        <v>8.1199999999999992</v>
      </c>
      <c r="E89" s="351">
        <v>0</v>
      </c>
      <c r="F89" s="435" t="str">
        <f>IFERROR(VLOOKUP($C89,[18]Nod!$A$3:$E$982,4,FALSE)," ")</f>
        <v>MDN34</v>
      </c>
      <c r="G89" s="435">
        <f>IFERROR(VLOOKUP($C89,[18]Nod!$A$3:$E$982,5,FALSE)," ")</f>
        <v>4</v>
      </c>
      <c r="L89" s="416"/>
      <c r="M89" s="416"/>
    </row>
    <row r="90" spans="1:13" ht="15" customHeight="1">
      <c r="A90" s="343" t="s">
        <v>213</v>
      </c>
      <c r="B90" s="344" t="s">
        <v>156</v>
      </c>
      <c r="C90" s="349">
        <v>6013</v>
      </c>
      <c r="D90" s="438">
        <v>105</v>
      </c>
      <c r="E90" s="351">
        <v>0</v>
      </c>
      <c r="F90" s="435" t="str">
        <f>IFERROR(VLOOKUP($C90,[18]Nod!$A$3:$E$982,4,FALSE)," ")</f>
        <v>MDN34</v>
      </c>
      <c r="G90" s="435">
        <f>IFERROR(VLOOKUP($C90,[18]Nod!$A$3:$E$982,5,FALSE)," ")</f>
        <v>4</v>
      </c>
      <c r="L90" s="416"/>
      <c r="M90" s="416"/>
    </row>
    <row r="91" spans="1:13" ht="15" customHeight="1">
      <c r="A91" s="343" t="s">
        <v>214</v>
      </c>
      <c r="B91" s="344" t="s">
        <v>156</v>
      </c>
      <c r="C91" s="349">
        <v>6013</v>
      </c>
      <c r="D91" s="438">
        <v>9.9600000000000009</v>
      </c>
      <c r="E91" s="351">
        <v>0</v>
      </c>
      <c r="F91" s="435" t="str">
        <f>IFERROR(VLOOKUP($C91,[18]Nod!$A$3:$E$982,4,FALSE)," ")</f>
        <v>MDN34</v>
      </c>
      <c r="G91" s="435">
        <f>IFERROR(VLOOKUP($C91,[18]Nod!$A$3:$E$982,5,FALSE)," ")</f>
        <v>4</v>
      </c>
      <c r="L91" s="416"/>
      <c r="M91" s="416"/>
    </row>
    <row r="92" spans="1:13" ht="15" customHeight="1">
      <c r="A92" s="343" t="s">
        <v>215</v>
      </c>
      <c r="B92" s="344" t="s">
        <v>150</v>
      </c>
      <c r="C92" s="349">
        <v>6182</v>
      </c>
      <c r="D92" s="438">
        <v>28.84</v>
      </c>
      <c r="E92" s="351">
        <v>0</v>
      </c>
      <c r="F92" s="435" t="str">
        <f>IFERROR(VLOOKUP($C92,[18]Nod!$A$3:$E$982,4,FALSE)," ")</f>
        <v>VEL230</v>
      </c>
      <c r="G92" s="435">
        <f>IFERROR(VLOOKUP($C92,[18]Nod!$A$3:$E$982,5,FALSE)," ")</f>
        <v>4</v>
      </c>
      <c r="L92" s="416"/>
      <c r="M92" s="416"/>
    </row>
    <row r="93" spans="1:13" ht="15" customHeight="1">
      <c r="A93" s="343" t="s">
        <v>216</v>
      </c>
      <c r="B93" s="344" t="s">
        <v>156</v>
      </c>
      <c r="C93" s="349">
        <v>6380</v>
      </c>
      <c r="D93" s="514"/>
      <c r="E93" s="351">
        <v>0</v>
      </c>
      <c r="F93" s="435" t="str">
        <f>IFERROR(VLOOKUP($C93,[18]Nod!$A$3:$E$982,4,FALSE)," ")</f>
        <v>BOQIII230</v>
      </c>
      <c r="G93" s="435">
        <f>IFERROR(VLOOKUP($C93,[18]Nod!$A$3:$E$982,5,FALSE)," ")</f>
        <v>4</v>
      </c>
      <c r="L93" s="416"/>
      <c r="M93" s="416"/>
    </row>
    <row r="94" spans="1:13" ht="15" customHeight="1">
      <c r="A94" s="343" t="s">
        <v>217</v>
      </c>
      <c r="B94" s="344" t="s">
        <v>156</v>
      </c>
      <c r="C94" s="349">
        <v>6013</v>
      </c>
      <c r="D94" s="438">
        <v>9.9</v>
      </c>
      <c r="E94" s="351">
        <v>0</v>
      </c>
      <c r="F94" s="435" t="str">
        <f>IFERROR(VLOOKUP($C94,[18]Nod!$A$3:$E$982,4,FALSE)," ")</f>
        <v>MDN34</v>
      </c>
      <c r="G94" s="435">
        <f>IFERROR(VLOOKUP($C94,[18]Nod!$A$3:$E$982,5,FALSE)," ")</f>
        <v>4</v>
      </c>
      <c r="L94" s="416"/>
      <c r="M94" s="416"/>
    </row>
    <row r="95" spans="1:13" ht="15" customHeight="1">
      <c r="A95" s="343" t="s">
        <v>218</v>
      </c>
      <c r="B95" s="344" t="s">
        <v>156</v>
      </c>
      <c r="C95" s="349">
        <v>6380</v>
      </c>
      <c r="D95" s="473">
        <v>9.8000000000000007</v>
      </c>
      <c r="E95" s="351">
        <v>0</v>
      </c>
      <c r="F95" s="435" t="str">
        <f>IFERROR(VLOOKUP($C95,[18]Nod!$A$3:$E$982,4,FALSE)," ")</f>
        <v>BOQIII230</v>
      </c>
      <c r="G95" s="435">
        <f>IFERROR(VLOOKUP($C95,[18]Nod!$A$3:$E$982,5,FALSE)," ")</f>
        <v>4</v>
      </c>
      <c r="L95" s="416"/>
      <c r="M95" s="416"/>
    </row>
    <row r="96" spans="1:13" ht="15" customHeight="1">
      <c r="A96" s="346" t="s">
        <v>219</v>
      </c>
      <c r="B96" s="344" t="s">
        <v>156</v>
      </c>
      <c r="C96" s="349">
        <v>6380</v>
      </c>
      <c r="D96" s="438">
        <v>9.8000000000000007</v>
      </c>
      <c r="E96" s="351">
        <v>0</v>
      </c>
      <c r="F96" s="435" t="str">
        <f>IFERROR(VLOOKUP($C96,[18]Nod!$A$3:$E$982,4,FALSE)," ")</f>
        <v>BOQIII230</v>
      </c>
      <c r="G96" s="435">
        <f>IFERROR(VLOOKUP($C96,[18]Nod!$A$3:$E$982,5,FALSE)," ")</f>
        <v>4</v>
      </c>
      <c r="L96" s="416"/>
      <c r="M96" s="416"/>
    </row>
    <row r="97" spans="1:13" ht="15" customHeight="1">
      <c r="A97" s="346" t="s">
        <v>220</v>
      </c>
      <c r="B97" s="344" t="s">
        <v>156</v>
      </c>
      <c r="C97" s="349">
        <v>6380</v>
      </c>
      <c r="D97" s="438">
        <v>9.8000000000000007</v>
      </c>
      <c r="E97" s="351">
        <v>0</v>
      </c>
      <c r="F97" s="435" t="str">
        <f>IFERROR(VLOOKUP($C97,[18]Nod!$A$3:$E$982,4,FALSE)," ")</f>
        <v>BOQIII230</v>
      </c>
      <c r="G97" s="435">
        <f>IFERROR(VLOOKUP($C97,[18]Nod!$A$3:$E$982,5,FALSE)," ")</f>
        <v>4</v>
      </c>
      <c r="L97" s="416"/>
      <c r="M97" s="416"/>
    </row>
    <row r="98" spans="1:13" ht="15" customHeight="1">
      <c r="A98" s="346" t="s">
        <v>221</v>
      </c>
      <c r="B98" s="344" t="s">
        <v>156</v>
      </c>
      <c r="C98" s="349">
        <v>6013</v>
      </c>
      <c r="D98" s="438">
        <v>9.9</v>
      </c>
      <c r="E98" s="351">
        <v>0</v>
      </c>
      <c r="F98" s="435" t="str">
        <f>IFERROR(VLOOKUP($C98,[18]Nod!$A$3:$E$982,4,FALSE)," ")</f>
        <v>MDN34</v>
      </c>
      <c r="G98" s="435">
        <f>IFERROR(VLOOKUP($C98,[18]Nod!$A$3:$E$982,5,FALSE)," ")</f>
        <v>4</v>
      </c>
      <c r="L98" s="416"/>
      <c r="M98" s="416"/>
    </row>
    <row r="99" spans="1:13" ht="15" customHeight="1">
      <c r="A99" s="346" t="s">
        <v>222</v>
      </c>
      <c r="B99" s="344" t="s">
        <v>156</v>
      </c>
      <c r="C99" s="349">
        <v>6013</v>
      </c>
      <c r="D99" s="438">
        <v>9.9</v>
      </c>
      <c r="E99" s="351">
        <v>0</v>
      </c>
      <c r="F99" s="435" t="str">
        <f>IFERROR(VLOOKUP($C99,[18]Nod!$A$3:$E$982,4,FALSE)," ")</f>
        <v>MDN34</v>
      </c>
      <c r="G99" s="435">
        <f>IFERROR(VLOOKUP($C99,[18]Nod!$A$3:$E$982,5,FALSE)," ")</f>
        <v>4</v>
      </c>
      <c r="L99" s="416"/>
      <c r="M99" s="416"/>
    </row>
    <row r="100" spans="1:13" ht="15" customHeight="1">
      <c r="A100" s="348" t="s">
        <v>223</v>
      </c>
      <c r="B100" s="344" t="s">
        <v>156</v>
      </c>
      <c r="C100" s="349">
        <v>6380</v>
      </c>
      <c r="D100" s="438">
        <v>9.9</v>
      </c>
      <c r="E100" s="351">
        <v>0</v>
      </c>
      <c r="F100" s="435" t="str">
        <f>IFERROR(VLOOKUP($C100,[18]Nod!$A$3:$E$982,4,FALSE)," ")</f>
        <v>BOQIII230</v>
      </c>
      <c r="G100" s="435">
        <f>IFERROR(VLOOKUP($C100,[18]Nod!$A$3:$E$982,5,FALSE)," ")</f>
        <v>4</v>
      </c>
      <c r="L100" s="416"/>
      <c r="M100" s="416"/>
    </row>
    <row r="101" spans="1:13" ht="15" customHeight="1">
      <c r="A101" s="348" t="s">
        <v>224</v>
      </c>
      <c r="B101" s="344" t="s">
        <v>156</v>
      </c>
      <c r="C101" s="349">
        <v>6013</v>
      </c>
      <c r="D101" s="438">
        <v>9.9</v>
      </c>
      <c r="E101" s="351">
        <v>0</v>
      </c>
      <c r="F101" s="435" t="str">
        <f>IFERROR(VLOOKUP($C101,[18]Nod!$A$3:$E$982,4,FALSE)," ")</f>
        <v>MDN34</v>
      </c>
      <c r="G101" s="435">
        <f>IFERROR(VLOOKUP($C101,[18]Nod!$A$3:$E$982,5,FALSE)," ")</f>
        <v>4</v>
      </c>
      <c r="L101" s="416"/>
      <c r="M101" s="416"/>
    </row>
    <row r="102" spans="1:13" ht="15" customHeight="1">
      <c r="A102" s="348" t="s">
        <v>225</v>
      </c>
      <c r="B102" s="344" t="s">
        <v>156</v>
      </c>
      <c r="C102" s="349">
        <v>6013</v>
      </c>
      <c r="D102" s="438">
        <v>9.9</v>
      </c>
      <c r="E102" s="351">
        <v>0</v>
      </c>
      <c r="F102" s="435" t="str">
        <f>IFERROR(VLOOKUP($C102,[18]Nod!$A$3:$E$982,4,FALSE)," ")</f>
        <v>MDN34</v>
      </c>
      <c r="G102" s="435">
        <f>IFERROR(VLOOKUP($C102,[18]Nod!$A$3:$E$982,5,FALSE)," ")</f>
        <v>4</v>
      </c>
      <c r="L102" s="416"/>
      <c r="M102" s="416"/>
    </row>
    <row r="103" spans="1:13" ht="15" customHeight="1">
      <c r="A103" s="348" t="s">
        <v>226</v>
      </c>
      <c r="B103" s="344" t="s">
        <v>156</v>
      </c>
      <c r="C103" s="349">
        <v>6013</v>
      </c>
      <c r="D103" s="474">
        <v>40</v>
      </c>
      <c r="E103" s="351">
        <v>5</v>
      </c>
      <c r="F103" s="435" t="str">
        <f>IFERROR(VLOOKUP($C103,[18]Nod!$A$3:$E$982,4,FALSE)," ")</f>
        <v>MDN34</v>
      </c>
      <c r="G103" s="435">
        <f>IFERROR(VLOOKUP($C103,[18]Nod!$A$3:$E$982,5,FALSE)," ")</f>
        <v>4</v>
      </c>
      <c r="L103" s="416"/>
      <c r="M103" s="416"/>
    </row>
    <row r="104" spans="1:13" ht="15" customHeight="1">
      <c r="A104" s="348" t="s">
        <v>227</v>
      </c>
      <c r="B104" s="344" t="s">
        <v>156</v>
      </c>
      <c r="C104" s="349">
        <v>6013</v>
      </c>
      <c r="D104" s="474">
        <v>9.9</v>
      </c>
      <c r="E104" s="351">
        <v>7</v>
      </c>
      <c r="F104" s="435" t="str">
        <f>IFERROR(VLOOKUP($C104,[18]Nod!$A$3:$E$982,4,FALSE)," ")</f>
        <v>MDN34</v>
      </c>
      <c r="G104" s="435">
        <f>IFERROR(VLOOKUP($C104,[18]Nod!$A$3:$E$982,5,FALSE)," ")</f>
        <v>4</v>
      </c>
      <c r="L104" s="416"/>
      <c r="M104" s="416"/>
    </row>
    <row r="105" spans="1:13" ht="15" customHeight="1">
      <c r="A105" s="348" t="s">
        <v>228</v>
      </c>
      <c r="B105" s="344" t="s">
        <v>156</v>
      </c>
      <c r="C105" s="349">
        <v>6013</v>
      </c>
      <c r="D105" s="474">
        <v>9.9</v>
      </c>
      <c r="E105" s="351">
        <v>7</v>
      </c>
      <c r="F105" s="435" t="str">
        <f>IFERROR(VLOOKUP($C105,[18]Nod!$A$3:$E$982,4,FALSE)," ")</f>
        <v>MDN34</v>
      </c>
      <c r="G105" s="435">
        <f>IFERROR(VLOOKUP($C105,[18]Nod!$A$3:$E$982,5,FALSE)," ")</f>
        <v>4</v>
      </c>
      <c r="L105" s="416"/>
      <c r="M105" s="416"/>
    </row>
    <row r="106" spans="1:13" ht="15" customHeight="1">
      <c r="A106" s="348" t="s">
        <v>229</v>
      </c>
      <c r="B106" s="344" t="s">
        <v>156</v>
      </c>
      <c r="C106" s="349">
        <v>6013</v>
      </c>
      <c r="D106" s="474">
        <v>9.9</v>
      </c>
      <c r="E106" s="351">
        <v>7</v>
      </c>
      <c r="F106" s="435" t="str">
        <f>IFERROR(VLOOKUP($C106,[18]Nod!$A$3:$E$982,4,FALSE)," ")</f>
        <v>MDN34</v>
      </c>
      <c r="G106" s="435">
        <f>IFERROR(VLOOKUP($C106,[18]Nod!$A$3:$E$982,5,FALSE)," ")</f>
        <v>4</v>
      </c>
      <c r="L106" s="416"/>
      <c r="M106" s="416"/>
    </row>
    <row r="107" spans="1:13" ht="15" customHeight="1">
      <c r="A107" s="348" t="s">
        <v>230</v>
      </c>
      <c r="B107" s="344" t="s">
        <v>156</v>
      </c>
      <c r="C107" s="349">
        <v>6013</v>
      </c>
      <c r="D107" s="474">
        <v>9.9</v>
      </c>
      <c r="E107" s="351">
        <v>7</v>
      </c>
      <c r="F107" s="435" t="str">
        <f>IFERROR(VLOOKUP($C107,[18]Nod!$A$3:$E$982,4,FALSE)," ")</f>
        <v>MDN34</v>
      </c>
      <c r="G107" s="435">
        <f>IFERROR(VLOOKUP($C107,[18]Nod!$A$3:$E$982,5,FALSE)," ")</f>
        <v>4</v>
      </c>
      <c r="L107" s="416"/>
      <c r="M107" s="416"/>
    </row>
    <row r="108" spans="1:13" ht="15" customHeight="1">
      <c r="A108" s="348" t="s">
        <v>231</v>
      </c>
      <c r="B108" s="344" t="s">
        <v>150</v>
      </c>
      <c r="C108" s="349">
        <v>6013</v>
      </c>
      <c r="D108" s="474"/>
      <c r="E108" s="351"/>
      <c r="F108" s="435" t="str">
        <f>IFERROR(VLOOKUP($C108,[18]Nod!$A$3:$E$982,4,FALSE)," ")</f>
        <v>MDN34</v>
      </c>
      <c r="G108" s="435">
        <f>IFERROR(VLOOKUP($C108,[18]Nod!$A$3:$E$982,5,FALSE)," ")</f>
        <v>4</v>
      </c>
      <c r="L108" s="416"/>
      <c r="M108" s="416"/>
    </row>
    <row r="109" spans="1:13" ht="15" customHeight="1">
      <c r="A109" s="346" t="s">
        <v>232</v>
      </c>
      <c r="B109" s="344" t="s">
        <v>156</v>
      </c>
      <c r="C109" s="352">
        <v>6520</v>
      </c>
      <c r="D109" s="438">
        <v>9.99</v>
      </c>
      <c r="E109" s="351">
        <v>0</v>
      </c>
      <c r="F109" s="435" t="str">
        <f>IFERROR(VLOOKUP($C109,[18]Nod!$A$3:$E$982,4,FALSE)," ")</f>
        <v>SBA230</v>
      </c>
      <c r="G109" s="435">
        <f>IFERROR(VLOOKUP($C109,[18]Nod!$A$3:$E$982,5,FALSE)," ")</f>
        <v>4</v>
      </c>
      <c r="L109" s="416"/>
      <c r="M109" s="416"/>
    </row>
    <row r="110" spans="1:13" ht="15" customHeight="1">
      <c r="A110" s="346" t="s">
        <v>233</v>
      </c>
      <c r="B110" s="344" t="s">
        <v>156</v>
      </c>
      <c r="C110" s="352">
        <v>6520</v>
      </c>
      <c r="D110" s="438">
        <v>9.99</v>
      </c>
      <c r="E110" s="351">
        <v>0</v>
      </c>
      <c r="F110" s="435" t="str">
        <f>IFERROR(VLOOKUP($C110,[18]Nod!$A$3:$E$982,4,FALSE)," ")</f>
        <v>SBA230</v>
      </c>
      <c r="G110" s="435">
        <f>IFERROR(VLOOKUP($C110,[18]Nod!$A$3:$E$982,5,FALSE)," ")</f>
        <v>4</v>
      </c>
      <c r="L110" s="416"/>
      <c r="M110" s="416"/>
    </row>
    <row r="111" spans="1:13" ht="15" customHeight="1">
      <c r="A111" s="346" t="s">
        <v>234</v>
      </c>
      <c r="B111" s="344" t="s">
        <v>156</v>
      </c>
      <c r="C111" s="352">
        <v>6520</v>
      </c>
      <c r="D111" s="438">
        <v>9.99</v>
      </c>
      <c r="E111" s="351">
        <v>0</v>
      </c>
      <c r="F111" s="435" t="str">
        <f>IFERROR(VLOOKUP($C111,[18]Nod!$A$3:$E$982,4,FALSE)," ")</f>
        <v>SBA230</v>
      </c>
      <c r="G111" s="435">
        <f>IFERROR(VLOOKUP($C111,[18]Nod!$A$3:$E$982,5,FALSE)," ")</f>
        <v>4</v>
      </c>
      <c r="L111" s="416"/>
      <c r="M111" s="416"/>
    </row>
    <row r="112" spans="1:13" ht="15" customHeight="1">
      <c r="A112" s="346" t="s">
        <v>235</v>
      </c>
      <c r="B112" s="344" t="s">
        <v>156</v>
      </c>
      <c r="C112" s="352">
        <v>6520</v>
      </c>
      <c r="D112" s="438">
        <v>9.99</v>
      </c>
      <c r="E112" s="351">
        <v>0</v>
      </c>
      <c r="F112" s="435" t="str">
        <f>IFERROR(VLOOKUP($C112,[18]Nod!$A$3:$E$982,4,FALSE)," ")</f>
        <v>SBA230</v>
      </c>
      <c r="G112" s="435">
        <f>IFERROR(VLOOKUP($C112,[18]Nod!$A$3:$E$982,5,FALSE)," ")</f>
        <v>4</v>
      </c>
      <c r="L112" s="416"/>
      <c r="M112" s="416"/>
    </row>
    <row r="113" spans="1:13" ht="15" customHeight="1">
      <c r="A113" s="346" t="s">
        <v>236</v>
      </c>
      <c r="B113" s="344" t="s">
        <v>156</v>
      </c>
      <c r="C113" s="352">
        <v>6520</v>
      </c>
      <c r="D113" s="438">
        <v>9.99</v>
      </c>
      <c r="E113" s="351">
        <v>0</v>
      </c>
      <c r="F113" s="435" t="str">
        <f>IFERROR(VLOOKUP($C113,[18]Nod!$A$3:$E$982,4,FALSE)," ")</f>
        <v>SBA230</v>
      </c>
      <c r="G113" s="435">
        <f>IFERROR(VLOOKUP($C113,[18]Nod!$A$3:$E$982,5,FALSE)," ")</f>
        <v>4</v>
      </c>
      <c r="L113" s="416"/>
      <c r="M113" s="416"/>
    </row>
    <row r="114" spans="1:13" ht="15" customHeight="1">
      <c r="A114" s="346" t="s">
        <v>237</v>
      </c>
      <c r="B114" s="344" t="s">
        <v>156</v>
      </c>
      <c r="C114" s="352">
        <v>6520</v>
      </c>
      <c r="D114" s="438">
        <v>9.99</v>
      </c>
      <c r="E114" s="351">
        <v>0</v>
      </c>
      <c r="F114" s="435" t="str">
        <f>IFERROR(VLOOKUP($C114,[18]Nod!$A$3:$E$982,4,FALSE)," ")</f>
        <v>SBA230</v>
      </c>
      <c r="G114" s="435">
        <f>IFERROR(VLOOKUP($C114,[18]Nod!$A$3:$E$982,5,FALSE)," ")</f>
        <v>4</v>
      </c>
      <c r="L114" s="416"/>
      <c r="M114" s="416"/>
    </row>
    <row r="115" spans="1:13" ht="15" customHeight="1">
      <c r="A115" s="347" t="s">
        <v>238</v>
      </c>
      <c r="B115" s="344" t="s">
        <v>156</v>
      </c>
      <c r="C115" s="352">
        <v>6520</v>
      </c>
      <c r="D115" s="438">
        <v>9.99</v>
      </c>
      <c r="E115" s="351">
        <v>0</v>
      </c>
      <c r="F115" s="435" t="str">
        <f>IFERROR(VLOOKUP($C115,[18]Nod!$A$3:$E$982,4,FALSE)," ")</f>
        <v>SBA230</v>
      </c>
      <c r="G115" s="435">
        <f>IFERROR(VLOOKUP($C115,[18]Nod!$A$3:$E$982,5,FALSE)," ")</f>
        <v>4</v>
      </c>
      <c r="L115" s="416"/>
      <c r="M115" s="416"/>
    </row>
    <row r="116" spans="1:13" ht="15" customHeight="1">
      <c r="A116" s="460" t="s">
        <v>31</v>
      </c>
      <c r="B116" s="445"/>
      <c r="C116" s="446"/>
      <c r="D116" s="446"/>
      <c r="E116" s="461"/>
      <c r="F116" s="435"/>
      <c r="G116" s="435"/>
      <c r="L116" s="416"/>
      <c r="M116" s="416"/>
    </row>
    <row r="117" spans="1:13" ht="15" customHeight="1">
      <c r="A117" s="436">
        <v>5</v>
      </c>
      <c r="B117" s="437"/>
      <c r="C117" s="432"/>
      <c r="D117" s="433">
        <f>SUM(D118:D164)</f>
        <v>806.46999999999991</v>
      </c>
      <c r="E117" s="434"/>
      <c r="F117" s="435" t="str">
        <f>IFERROR(VLOOKUP($C117,[18]Nod!$A$3:$E$982,4,FALSE)," ")</f>
        <v xml:space="preserve"> </v>
      </c>
      <c r="G117" s="435" t="str">
        <f>IFERROR(VLOOKUP($C117,[18]Nod!$A$3:$E$982,5,FALSE)," ")</f>
        <v xml:space="preserve"> </v>
      </c>
      <c r="L117" s="416"/>
      <c r="M117" s="416"/>
    </row>
    <row r="118" spans="1:13" ht="15" customHeight="1">
      <c r="A118" s="343" t="s">
        <v>239</v>
      </c>
      <c r="B118" s="344" t="s">
        <v>150</v>
      </c>
      <c r="C118" s="353">
        <v>6008</v>
      </c>
      <c r="D118" s="468">
        <v>6.66</v>
      </c>
      <c r="E118" s="351">
        <v>0</v>
      </c>
      <c r="F118" s="435" t="str">
        <f>IFERROR(VLOOKUP($C118,[18]Nod!$A$3:$E$982,4,FALSE)," ")</f>
        <v>LSA230</v>
      </c>
      <c r="G118" s="435">
        <f>IFERROR(VLOOKUP($C118,[18]Nod!$A$3:$E$982,5,FALSE)," ")</f>
        <v>5</v>
      </c>
      <c r="L118" s="416"/>
      <c r="M118" s="416"/>
    </row>
    <row r="119" spans="1:13" ht="15" customHeight="1">
      <c r="A119" s="343" t="s">
        <v>240</v>
      </c>
      <c r="B119" s="344" t="s">
        <v>150</v>
      </c>
      <c r="C119" s="353">
        <v>6008</v>
      </c>
      <c r="D119" s="468">
        <v>7</v>
      </c>
      <c r="E119" s="475">
        <v>0</v>
      </c>
      <c r="F119" s="435" t="str">
        <f>IFERROR(VLOOKUP($C119,[18]Nod!$A$3:$E$982,4,FALSE)," ")</f>
        <v>LSA230</v>
      </c>
      <c r="G119" s="435">
        <f>IFERROR(VLOOKUP($C119,[18]Nod!$A$3:$E$982,5,FALSE)," ")</f>
        <v>5</v>
      </c>
      <c r="L119" s="416"/>
      <c r="M119" s="416"/>
    </row>
    <row r="120" spans="1:13" ht="15" customHeight="1">
      <c r="A120" s="343" t="s">
        <v>241</v>
      </c>
      <c r="B120" s="344" t="s">
        <v>156</v>
      </c>
      <c r="C120" s="353">
        <v>6008</v>
      </c>
      <c r="D120" s="468">
        <v>9.93</v>
      </c>
      <c r="E120" s="351">
        <v>0</v>
      </c>
      <c r="F120" s="435" t="str">
        <f>IFERROR(VLOOKUP($C120,[18]Nod!$A$3:$E$982,4,FALSE)," ")</f>
        <v>LSA230</v>
      </c>
      <c r="G120" s="435">
        <f>IFERROR(VLOOKUP($C120,[18]Nod!$A$3:$E$982,5,FALSE)," ")</f>
        <v>5</v>
      </c>
      <c r="L120" s="416"/>
      <c r="M120" s="416"/>
    </row>
    <row r="121" spans="1:13" ht="15" customHeight="1">
      <c r="A121" s="343" t="s">
        <v>242</v>
      </c>
      <c r="B121" s="344" t="s">
        <v>156</v>
      </c>
      <c r="C121" s="353">
        <v>6008</v>
      </c>
      <c r="D121" s="468">
        <v>9.99</v>
      </c>
      <c r="E121" s="351">
        <v>0</v>
      </c>
      <c r="F121" s="435" t="str">
        <f>IFERROR(VLOOKUP($C121,[18]Nod!$A$3:$E$982,4,FALSE)," ")</f>
        <v>LSA230</v>
      </c>
      <c r="G121" s="435">
        <f>IFERROR(VLOOKUP($C121,[18]Nod!$A$3:$E$982,5,FALSE)," ")</f>
        <v>5</v>
      </c>
      <c r="L121" s="416"/>
      <c r="M121" s="416"/>
    </row>
    <row r="122" spans="1:13" ht="15" customHeight="1">
      <c r="A122" s="506" t="s">
        <v>329</v>
      </c>
      <c r="B122" s="344" t="s">
        <v>156</v>
      </c>
      <c r="C122" s="353">
        <v>6008</v>
      </c>
      <c r="D122" s="514"/>
      <c r="E122" s="351"/>
      <c r="F122" s="435" t="str">
        <f>IFERROR(VLOOKUP($C122,[18]Nod!$A$3:$E$982,4,FALSE)," ")</f>
        <v>LSA230</v>
      </c>
      <c r="G122" s="435">
        <f>IFERROR(VLOOKUP($C122,[18]Nod!$A$3:$E$982,5,FALSE)," ")</f>
        <v>5</v>
      </c>
      <c r="L122" s="416"/>
      <c r="M122" s="416"/>
    </row>
    <row r="123" spans="1:13" ht="15" customHeight="1">
      <c r="A123" s="506" t="s">
        <v>330</v>
      </c>
      <c r="B123" s="344" t="s">
        <v>156</v>
      </c>
      <c r="C123" s="353">
        <v>6008</v>
      </c>
      <c r="D123" s="514"/>
      <c r="E123" s="351">
        <v>0</v>
      </c>
      <c r="F123" s="435" t="str">
        <f>IFERROR(VLOOKUP($C123,[18]Nod!$A$3:$E$982,4,FALSE)," ")</f>
        <v>LSA230</v>
      </c>
      <c r="G123" s="435">
        <f>IFERROR(VLOOKUP($C123,[18]Nod!$A$3:$E$982,5,FALSE)," ")</f>
        <v>5</v>
      </c>
      <c r="L123" s="416"/>
      <c r="M123" s="416"/>
    </row>
    <row r="124" spans="1:13" ht="15" customHeight="1">
      <c r="A124" s="343" t="s">
        <v>243</v>
      </c>
      <c r="B124" s="344" t="s">
        <v>156</v>
      </c>
      <c r="C124" s="353">
        <v>6008</v>
      </c>
      <c r="D124" s="468">
        <v>8.5</v>
      </c>
      <c r="E124" s="351">
        <v>0</v>
      </c>
      <c r="F124" s="435" t="str">
        <f>IFERROR(VLOOKUP($C124,[18]Nod!$A$3:$E$982,4,FALSE)," ")</f>
        <v>LSA230</v>
      </c>
      <c r="G124" s="435">
        <f>IFERROR(VLOOKUP($C124,[18]Nod!$A$3:$E$982,5,FALSE)," ")</f>
        <v>5</v>
      </c>
      <c r="L124" s="416"/>
      <c r="M124" s="416"/>
    </row>
    <row r="125" spans="1:13" ht="15" customHeight="1">
      <c r="A125" s="343" t="s">
        <v>244</v>
      </c>
      <c r="B125" s="344" t="s">
        <v>156</v>
      </c>
      <c r="C125" s="353">
        <v>6008</v>
      </c>
      <c r="D125" s="468">
        <v>9.52</v>
      </c>
      <c r="E125" s="351">
        <v>0</v>
      </c>
      <c r="F125" s="435" t="str">
        <f>IFERROR(VLOOKUP($C125,[18]Nod!$A$3:$E$982,4,FALSE)," ")</f>
        <v>LSA230</v>
      </c>
      <c r="G125" s="435">
        <f>IFERROR(VLOOKUP($C125,[18]Nod!$A$3:$E$982,5,FALSE)," ")</f>
        <v>5</v>
      </c>
      <c r="L125" s="416"/>
      <c r="M125" s="416"/>
    </row>
    <row r="126" spans="1:13" ht="15" customHeight="1">
      <c r="A126" s="343" t="s">
        <v>245</v>
      </c>
      <c r="B126" s="344" t="s">
        <v>156</v>
      </c>
      <c r="C126" s="353">
        <v>6008</v>
      </c>
      <c r="D126" s="468">
        <v>10</v>
      </c>
      <c r="E126" s="351">
        <v>0</v>
      </c>
      <c r="F126" s="435" t="str">
        <f>IFERROR(VLOOKUP($C126,[18]Nod!$A$3:$E$982,4,FALSE)," ")</f>
        <v>LSA230</v>
      </c>
      <c r="G126" s="435">
        <f>IFERROR(VLOOKUP($C126,[18]Nod!$A$3:$E$982,5,FALSE)," ")</f>
        <v>5</v>
      </c>
      <c r="L126" s="416"/>
      <c r="M126" s="416"/>
    </row>
    <row r="127" spans="1:13" ht="15" customHeight="1">
      <c r="A127" s="343" t="s">
        <v>246</v>
      </c>
      <c r="B127" s="344" t="s">
        <v>156</v>
      </c>
      <c r="C127" s="353">
        <v>6008</v>
      </c>
      <c r="D127" s="468">
        <v>8.5</v>
      </c>
      <c r="E127" s="351">
        <v>0</v>
      </c>
      <c r="F127" s="435" t="str">
        <f>IFERROR(VLOOKUP($C127,[18]Nod!$A$3:$E$982,4,FALSE)," ")</f>
        <v>LSA230</v>
      </c>
      <c r="G127" s="435">
        <f>IFERROR(VLOOKUP($C127,[18]Nod!$A$3:$E$982,5,FALSE)," ")</f>
        <v>5</v>
      </c>
      <c r="K127" s="476"/>
      <c r="L127" s="416"/>
      <c r="M127" s="416"/>
    </row>
    <row r="128" spans="1:13" ht="15" customHeight="1">
      <c r="A128" s="343" t="s">
        <v>247</v>
      </c>
      <c r="B128" s="344" t="s">
        <v>156</v>
      </c>
      <c r="C128" s="353">
        <v>6008</v>
      </c>
      <c r="D128" s="468">
        <v>10</v>
      </c>
      <c r="E128" s="351">
        <v>0</v>
      </c>
      <c r="F128" s="435" t="str">
        <f>IFERROR(VLOOKUP($C128,[18]Nod!$A$3:$E$982,4,FALSE)," ")</f>
        <v>LSA230</v>
      </c>
      <c r="G128" s="435">
        <f>IFERROR(VLOOKUP($C128,[18]Nod!$A$3:$E$982,5,FALSE)," ")</f>
        <v>5</v>
      </c>
      <c r="K128" s="476"/>
      <c r="L128" s="416"/>
      <c r="M128" s="416"/>
    </row>
    <row r="129" spans="1:13" ht="15" customHeight="1">
      <c r="A129" s="343" t="s">
        <v>248</v>
      </c>
      <c r="B129" s="344" t="s">
        <v>156</v>
      </c>
      <c r="C129" s="353">
        <v>6008</v>
      </c>
      <c r="D129" s="468">
        <v>10</v>
      </c>
      <c r="E129" s="351">
        <v>0</v>
      </c>
      <c r="F129" s="435" t="str">
        <f>IFERROR(VLOOKUP($C129,[18]Nod!$A$3:$E$982,4,FALSE)," ")</f>
        <v>LSA230</v>
      </c>
      <c r="G129" s="435">
        <f>IFERROR(VLOOKUP($C129,[18]Nod!$A$3:$E$982,5,FALSE)," ")</f>
        <v>5</v>
      </c>
      <c r="K129" s="476"/>
      <c r="L129" s="416"/>
      <c r="M129" s="416"/>
    </row>
    <row r="130" spans="1:13" ht="15" customHeight="1">
      <c r="A130" s="343" t="s">
        <v>249</v>
      </c>
      <c r="B130" s="344" t="s">
        <v>250</v>
      </c>
      <c r="C130" s="353">
        <v>6460</v>
      </c>
      <c r="D130" s="468">
        <v>17.5</v>
      </c>
      <c r="E130" s="351">
        <v>0</v>
      </c>
      <c r="F130" s="435" t="str">
        <f>IFERROR(VLOOKUP($C130,[18]Nod!$A$3:$E$982,4,FALSE)," ")</f>
        <v>ECO230</v>
      </c>
      <c r="G130" s="435">
        <f>IFERROR(VLOOKUP($C130,[18]Nod!$A$3:$E$982,5,FALSE)," ")</f>
        <v>5</v>
      </c>
      <c r="K130" s="476"/>
      <c r="L130" s="416"/>
      <c r="M130" s="416"/>
    </row>
    <row r="131" spans="1:13" ht="15" customHeight="1">
      <c r="A131" s="343" t="s">
        <v>251</v>
      </c>
      <c r="B131" s="344" t="s">
        <v>250</v>
      </c>
      <c r="C131" s="353">
        <v>6460</v>
      </c>
      <c r="D131" s="468">
        <v>52.5</v>
      </c>
      <c r="E131" s="351">
        <v>0</v>
      </c>
      <c r="F131" s="435" t="str">
        <f>IFERROR(VLOOKUP($C131,[18]Nod!$A$3:$E$982,4,FALSE)," ")</f>
        <v>ECO230</v>
      </c>
      <c r="G131" s="435">
        <f>IFERROR(VLOOKUP($C131,[18]Nod!$A$3:$E$982,5,FALSE)," ")</f>
        <v>5</v>
      </c>
      <c r="K131" s="476"/>
      <c r="L131" s="416"/>
      <c r="M131" s="416"/>
    </row>
    <row r="132" spans="1:13" ht="15" customHeight="1">
      <c r="A132" s="343" t="s">
        <v>252</v>
      </c>
      <c r="B132" s="344" t="s">
        <v>250</v>
      </c>
      <c r="C132" s="353">
        <v>6460</v>
      </c>
      <c r="D132" s="468">
        <v>55</v>
      </c>
      <c r="E132" s="351">
        <v>0</v>
      </c>
      <c r="F132" s="435" t="str">
        <f>IFERROR(VLOOKUP($C132,[18]Nod!$A$3:$E$982,4,FALSE)," ")</f>
        <v>ECO230</v>
      </c>
      <c r="G132" s="435">
        <f>IFERROR(VLOOKUP($C132,[18]Nod!$A$3:$E$982,5,FALSE)," ")</f>
        <v>5</v>
      </c>
      <c r="K132" s="476"/>
      <c r="L132" s="416"/>
      <c r="M132" s="416"/>
    </row>
    <row r="133" spans="1:13" ht="15" customHeight="1">
      <c r="A133" s="343" t="s">
        <v>253</v>
      </c>
      <c r="B133" s="344" t="s">
        <v>250</v>
      </c>
      <c r="C133" s="353">
        <v>6460</v>
      </c>
      <c r="D133" s="468">
        <v>62.5</v>
      </c>
      <c r="E133" s="351">
        <v>0</v>
      </c>
      <c r="F133" s="435" t="str">
        <f>IFERROR(VLOOKUP($C133,[18]Nod!$A$3:$E$982,4,FALSE)," ")</f>
        <v>ECO230</v>
      </c>
      <c r="G133" s="435">
        <f>IFERROR(VLOOKUP($C133,[18]Nod!$A$3:$E$982,5,FALSE)," ")</f>
        <v>5</v>
      </c>
      <c r="K133" s="476"/>
      <c r="L133" s="416"/>
      <c r="M133" s="416"/>
    </row>
    <row r="134" spans="1:13" ht="15" customHeight="1">
      <c r="A134" s="343" t="s">
        <v>254</v>
      </c>
      <c r="B134" s="344" t="s">
        <v>250</v>
      </c>
      <c r="C134" s="353">
        <v>6460</v>
      </c>
      <c r="D134" s="468">
        <v>32.5</v>
      </c>
      <c r="E134" s="351">
        <v>0</v>
      </c>
      <c r="F134" s="435" t="str">
        <f>IFERROR(VLOOKUP($C134,[18]Nod!$A$3:$E$982,4,FALSE)," ")</f>
        <v>ECO230</v>
      </c>
      <c r="G134" s="435">
        <f>IFERROR(VLOOKUP($C134,[18]Nod!$A$3:$E$982,5,FALSE)," ")</f>
        <v>5</v>
      </c>
      <c r="K134" s="476"/>
      <c r="L134" s="416"/>
      <c r="M134" s="416"/>
    </row>
    <row r="135" spans="1:13" ht="15" customHeight="1">
      <c r="A135" s="343" t="s">
        <v>255</v>
      </c>
      <c r="B135" s="344" t="s">
        <v>250</v>
      </c>
      <c r="C135" s="353">
        <v>6460</v>
      </c>
      <c r="D135" s="468">
        <v>50</v>
      </c>
      <c r="E135" s="351">
        <v>0</v>
      </c>
      <c r="F135" s="435" t="str">
        <f>IFERROR(VLOOKUP($C135,[18]Nod!$A$3:$E$982,4,FALSE)," ")</f>
        <v>ECO230</v>
      </c>
      <c r="G135" s="435">
        <f>IFERROR(VLOOKUP($C135,[18]Nod!$A$3:$E$982,5,FALSE)," ")</f>
        <v>5</v>
      </c>
      <c r="K135" s="476"/>
      <c r="L135" s="416"/>
      <c r="M135" s="416"/>
    </row>
    <row r="136" spans="1:13" ht="15" customHeight="1">
      <c r="A136" s="343" t="s">
        <v>256</v>
      </c>
      <c r="B136" s="344" t="s">
        <v>156</v>
      </c>
      <c r="C136" s="353">
        <v>6008</v>
      </c>
      <c r="D136" s="468">
        <v>16</v>
      </c>
      <c r="E136" s="351">
        <v>0</v>
      </c>
      <c r="F136" s="435" t="str">
        <f>IFERROR(VLOOKUP($C136,[18]Nod!$A$3:$E$982,4,FALSE)," ")</f>
        <v>LSA230</v>
      </c>
      <c r="G136" s="435">
        <f>IFERROR(VLOOKUP($C136,[18]Nod!$A$3:$E$982,5,FALSE)," ")</f>
        <v>5</v>
      </c>
      <c r="K136" s="476"/>
      <c r="L136" s="416"/>
      <c r="M136" s="416"/>
    </row>
    <row r="137" spans="1:13" ht="15" customHeight="1">
      <c r="A137" s="343" t="s">
        <v>257</v>
      </c>
      <c r="B137" s="344" t="s">
        <v>156</v>
      </c>
      <c r="C137" s="353">
        <v>6008</v>
      </c>
      <c r="D137" s="468">
        <v>5.66</v>
      </c>
      <c r="E137" s="351">
        <v>0</v>
      </c>
      <c r="F137" s="435" t="str">
        <f>IFERROR(VLOOKUP($C137,[18]Nod!$A$3:$E$982,4,FALSE)," ")</f>
        <v>LSA230</v>
      </c>
      <c r="G137" s="435">
        <f>IFERROR(VLOOKUP($C137,[18]Nod!$A$3:$E$982,5,FALSE)," ")</f>
        <v>5</v>
      </c>
      <c r="K137" s="476"/>
      <c r="L137" s="416"/>
      <c r="M137" s="416"/>
    </row>
    <row r="138" spans="1:13" ht="15" customHeight="1">
      <c r="A138" s="343" t="s">
        <v>142</v>
      </c>
      <c r="B138" s="344" t="s">
        <v>156</v>
      </c>
      <c r="C138" s="352">
        <v>6008</v>
      </c>
      <c r="D138" s="468">
        <v>9.9</v>
      </c>
      <c r="E138" s="351">
        <v>0</v>
      </c>
      <c r="F138" s="435" t="str">
        <f>IFERROR(VLOOKUP($C138,[18]Nod!$A$3:$E$982,4,FALSE)," ")</f>
        <v>LSA230</v>
      </c>
      <c r="G138" s="435">
        <f>IFERROR(VLOOKUP($C138,[18]Nod!$A$3:$E$982,5,FALSE)," ")</f>
        <v>5</v>
      </c>
      <c r="K138" s="476"/>
      <c r="L138" s="416"/>
      <c r="M138" s="416"/>
    </row>
    <row r="139" spans="1:13" ht="15" customHeight="1">
      <c r="A139" s="343" t="s">
        <v>258</v>
      </c>
      <c r="B139" s="344" t="s">
        <v>156</v>
      </c>
      <c r="C139" s="352">
        <v>6008</v>
      </c>
      <c r="D139" s="514"/>
      <c r="E139" s="351">
        <v>0</v>
      </c>
      <c r="F139" s="435" t="str">
        <f>IFERROR(VLOOKUP($C139,[18]Nod!$A$3:$E$982,4,FALSE)," ")</f>
        <v>LSA230</v>
      </c>
      <c r="G139" s="435">
        <f>IFERROR(VLOOKUP($C139,[18]Nod!$A$3:$E$982,5,FALSE)," ")</f>
        <v>5</v>
      </c>
      <c r="K139" s="476"/>
      <c r="L139" s="416"/>
      <c r="M139" s="416"/>
    </row>
    <row r="140" spans="1:13" ht="15" customHeight="1">
      <c r="A140" s="343" t="s">
        <v>259</v>
      </c>
      <c r="B140" s="344" t="s">
        <v>156</v>
      </c>
      <c r="C140" s="352">
        <v>6008</v>
      </c>
      <c r="D140" s="468">
        <v>120</v>
      </c>
      <c r="E140" s="351">
        <v>0</v>
      </c>
      <c r="F140" s="435" t="str">
        <f>IFERROR(VLOOKUP($C140,[18]Nod!$A$3:$E$982,4,FALSE)," ")</f>
        <v>LSA230</v>
      </c>
      <c r="G140" s="435">
        <f>IFERROR(VLOOKUP($C140,[18]Nod!$A$3:$E$982,5,FALSE)," ")</f>
        <v>5</v>
      </c>
      <c r="K140" s="476"/>
      <c r="L140" s="416"/>
      <c r="M140" s="416"/>
    </row>
    <row r="141" spans="1:13" ht="15" customHeight="1">
      <c r="A141" s="343" t="s">
        <v>260</v>
      </c>
      <c r="B141" s="344" t="s">
        <v>156</v>
      </c>
      <c r="C141" s="352">
        <v>6008</v>
      </c>
      <c r="D141" s="468">
        <v>9.9700000000000006</v>
      </c>
      <c r="E141" s="351">
        <v>0</v>
      </c>
      <c r="F141" s="435" t="str">
        <f>IFERROR(VLOOKUP($C141,[18]Nod!$A$3:$E$982,4,FALSE)," ")</f>
        <v>LSA230</v>
      </c>
      <c r="G141" s="435">
        <f>IFERROR(VLOOKUP($C141,[18]Nod!$A$3:$E$982,5,FALSE)," ")</f>
        <v>5</v>
      </c>
      <c r="K141" s="476"/>
      <c r="L141" s="416"/>
      <c r="M141" s="416"/>
    </row>
    <row r="142" spans="1:13" ht="15" customHeight="1">
      <c r="A142" s="343" t="s">
        <v>261</v>
      </c>
      <c r="B142" s="344" t="s">
        <v>156</v>
      </c>
      <c r="C142" s="352">
        <v>6008</v>
      </c>
      <c r="D142" s="468">
        <v>9.9700000000000006</v>
      </c>
      <c r="E142" s="351">
        <v>0</v>
      </c>
      <c r="F142" s="435" t="str">
        <f>IFERROR(VLOOKUP($C142,[18]Nod!$A$3:$E$982,4,FALSE)," ")</f>
        <v>LSA230</v>
      </c>
      <c r="G142" s="435">
        <f>IFERROR(VLOOKUP($C142,[18]Nod!$A$3:$E$982,5,FALSE)," ")</f>
        <v>5</v>
      </c>
      <c r="K142" s="476"/>
      <c r="L142" s="416"/>
      <c r="M142" s="416"/>
    </row>
    <row r="143" spans="1:13" ht="15" customHeight="1">
      <c r="A143" s="343" t="s">
        <v>331</v>
      </c>
      <c r="B143" s="344" t="s">
        <v>156</v>
      </c>
      <c r="C143" s="352">
        <v>6008</v>
      </c>
      <c r="D143" s="468">
        <v>9.8800000000000008</v>
      </c>
      <c r="E143" s="351">
        <v>0</v>
      </c>
      <c r="F143" s="435" t="str">
        <f>IFERROR(VLOOKUP($C143,[18]Nod!$A$3:$E$982,4,FALSE)," ")</f>
        <v>LSA230</v>
      </c>
      <c r="G143" s="435">
        <f>IFERROR(VLOOKUP($C143,[18]Nod!$A$3:$E$982,5,FALSE)," ")</f>
        <v>5</v>
      </c>
      <c r="K143" s="476"/>
      <c r="L143" s="416"/>
      <c r="M143" s="416"/>
    </row>
    <row r="144" spans="1:13" ht="15" customHeight="1">
      <c r="A144" s="343" t="s">
        <v>332</v>
      </c>
      <c r="B144" s="344" t="s">
        <v>156</v>
      </c>
      <c r="C144" s="352">
        <v>6008</v>
      </c>
      <c r="D144" s="516">
        <v>5.61</v>
      </c>
      <c r="E144" s="351">
        <v>0</v>
      </c>
      <c r="F144" s="435" t="str">
        <f>IFERROR(VLOOKUP($C144,[18]Nod!$A$3:$E$982,4,FALSE)," ")</f>
        <v>LSA230</v>
      </c>
      <c r="G144" s="435">
        <f>IFERROR(VLOOKUP($C144,[18]Nod!$A$3:$E$982,5,FALSE)," ")</f>
        <v>5</v>
      </c>
      <c r="K144" s="476"/>
      <c r="L144" s="416"/>
      <c r="M144" s="416"/>
    </row>
    <row r="145" spans="1:13" ht="15" customHeight="1">
      <c r="A145" s="343" t="s">
        <v>333</v>
      </c>
      <c r="B145" s="344" t="s">
        <v>156</v>
      </c>
      <c r="C145" s="352">
        <v>6008</v>
      </c>
      <c r="D145" s="516">
        <v>5.8</v>
      </c>
      <c r="E145" s="351">
        <v>0</v>
      </c>
      <c r="F145" s="435" t="str">
        <f>IFERROR(VLOOKUP($C145,[18]Nod!$A$3:$E$982,4,FALSE)," ")</f>
        <v>LSA230</v>
      </c>
      <c r="G145" s="435">
        <f>IFERROR(VLOOKUP($C145,[18]Nod!$A$3:$E$982,5,FALSE)," ")</f>
        <v>5</v>
      </c>
      <c r="K145" s="476"/>
      <c r="L145" s="416"/>
      <c r="M145" s="416"/>
    </row>
    <row r="146" spans="1:13" ht="15" customHeight="1">
      <c r="A146" s="343" t="s">
        <v>343</v>
      </c>
      <c r="B146" s="344" t="s">
        <v>156</v>
      </c>
      <c r="C146" s="352">
        <v>6008</v>
      </c>
      <c r="D146" s="516">
        <v>6.02</v>
      </c>
      <c r="E146" s="351">
        <v>0</v>
      </c>
      <c r="F146" s="435" t="str">
        <f>IFERROR(VLOOKUP($C146,[18]Nod!$A$3:$E$982,4,FALSE)," ")</f>
        <v>LSA230</v>
      </c>
      <c r="G146" s="435">
        <f>IFERROR(VLOOKUP($C146,[18]Nod!$A$3:$E$982,5,FALSE)," ")</f>
        <v>5</v>
      </c>
      <c r="K146" s="476"/>
      <c r="L146" s="416"/>
      <c r="M146" s="416"/>
    </row>
    <row r="147" spans="1:13" ht="15" customHeight="1">
      <c r="A147" s="343" t="s">
        <v>262</v>
      </c>
      <c r="B147" s="344" t="s">
        <v>156</v>
      </c>
      <c r="C147" s="352">
        <v>6008</v>
      </c>
      <c r="D147" s="468">
        <v>11.7</v>
      </c>
      <c r="E147" s="351">
        <v>0</v>
      </c>
      <c r="F147" s="435" t="str">
        <f>IFERROR(VLOOKUP($C147,[18]Nod!$A$3:$E$982,4,FALSE)," ")</f>
        <v>LSA230</v>
      </c>
      <c r="G147" s="435">
        <f>IFERROR(VLOOKUP($C147,[18]Nod!$A$3:$E$982,5,FALSE)," ")</f>
        <v>5</v>
      </c>
      <c r="K147" s="476"/>
      <c r="L147" s="416"/>
      <c r="M147" s="416"/>
    </row>
    <row r="148" spans="1:13" ht="15" customHeight="1">
      <c r="A148" s="343" t="s">
        <v>263</v>
      </c>
      <c r="B148" s="344" t="s">
        <v>156</v>
      </c>
      <c r="C148" s="352">
        <v>6008</v>
      </c>
      <c r="D148" s="468">
        <v>7.56</v>
      </c>
      <c r="E148" s="351">
        <v>0</v>
      </c>
      <c r="F148" s="435" t="str">
        <f>IFERROR(VLOOKUP($C148,[18]Nod!$A$3:$E$982,4,FALSE)," ")</f>
        <v>LSA230</v>
      </c>
      <c r="G148" s="435">
        <f>IFERROR(VLOOKUP($C148,[18]Nod!$A$3:$E$982,5,FALSE)," ")</f>
        <v>5</v>
      </c>
      <c r="K148" s="476"/>
      <c r="L148" s="416"/>
      <c r="M148" s="416"/>
    </row>
    <row r="149" spans="1:13" ht="15" customHeight="1">
      <c r="A149" s="343" t="s">
        <v>264</v>
      </c>
      <c r="B149" s="344" t="s">
        <v>156</v>
      </c>
      <c r="C149" s="352">
        <v>6008</v>
      </c>
      <c r="D149" s="468">
        <v>9.99</v>
      </c>
      <c r="E149" s="351">
        <v>0</v>
      </c>
      <c r="F149" s="435" t="str">
        <f>IFERROR(VLOOKUP($C149,[18]Nod!$A$3:$E$982,4,FALSE)," ")</f>
        <v>LSA230</v>
      </c>
      <c r="G149" s="435">
        <f>IFERROR(VLOOKUP($C149,[18]Nod!$A$3:$E$982,5,FALSE)," ")</f>
        <v>5</v>
      </c>
      <c r="K149" s="476"/>
      <c r="L149" s="416"/>
      <c r="M149" s="416"/>
    </row>
    <row r="150" spans="1:13" ht="15" customHeight="1">
      <c r="A150" s="346" t="s">
        <v>265</v>
      </c>
      <c r="B150" s="344" t="s">
        <v>156</v>
      </c>
      <c r="C150" s="352">
        <v>6460</v>
      </c>
      <c r="D150" s="477">
        <v>9.9</v>
      </c>
      <c r="E150" s="351">
        <v>0</v>
      </c>
      <c r="F150" s="435" t="str">
        <f>IFERROR(VLOOKUP($C150,[18]Nod!$A$3:$E$982,4,FALSE)," ")</f>
        <v>ECO230</v>
      </c>
      <c r="G150" s="435">
        <f>IFERROR(VLOOKUP($C150,[18]Nod!$A$3:$E$982,5,FALSE)," ")</f>
        <v>5</v>
      </c>
      <c r="K150" s="476"/>
      <c r="L150" s="416"/>
      <c r="M150" s="416"/>
    </row>
    <row r="151" spans="1:13" ht="15" customHeight="1">
      <c r="A151" s="343" t="s">
        <v>266</v>
      </c>
      <c r="B151" s="344" t="s">
        <v>156</v>
      </c>
      <c r="C151" s="352">
        <v>6008</v>
      </c>
      <c r="D151" s="468">
        <v>12.5</v>
      </c>
      <c r="E151" s="351">
        <v>0</v>
      </c>
      <c r="F151" s="435" t="str">
        <f>IFERROR(VLOOKUP($C151,[18]Nod!$A$3:$E$982,4,FALSE)," ")</f>
        <v>LSA230</v>
      </c>
      <c r="G151" s="435">
        <f>IFERROR(VLOOKUP($C151,[18]Nod!$A$3:$E$982,5,FALSE)," ")</f>
        <v>5</v>
      </c>
      <c r="K151" s="476"/>
      <c r="L151" s="416"/>
      <c r="M151" s="416"/>
    </row>
    <row r="152" spans="1:13" ht="15" customHeight="1">
      <c r="A152" s="346" t="s">
        <v>267</v>
      </c>
      <c r="B152" s="344" t="s">
        <v>156</v>
      </c>
      <c r="C152" s="352">
        <v>6008</v>
      </c>
      <c r="D152" s="477">
        <v>7.5</v>
      </c>
      <c r="E152" s="351">
        <v>0</v>
      </c>
      <c r="F152" s="435" t="str">
        <f>IFERROR(VLOOKUP($C152,[18]Nod!$A$3:$E$982,4,FALSE)," ")</f>
        <v>LSA230</v>
      </c>
      <c r="G152" s="435">
        <f>IFERROR(VLOOKUP($C152,[18]Nod!$A$3:$E$982,5,FALSE)," ")</f>
        <v>5</v>
      </c>
      <c r="K152" s="476"/>
      <c r="L152" s="416"/>
      <c r="M152" s="416"/>
    </row>
    <row r="153" spans="1:13" ht="15" customHeight="1">
      <c r="A153" s="346" t="s">
        <v>268</v>
      </c>
      <c r="B153" s="344" t="s">
        <v>156</v>
      </c>
      <c r="C153" s="352">
        <v>6008</v>
      </c>
      <c r="D153" s="477">
        <v>9.99</v>
      </c>
      <c r="E153" s="351">
        <v>0</v>
      </c>
      <c r="F153" s="435" t="str">
        <f>IFERROR(VLOOKUP($C153,[18]Nod!$A$3:$E$982,4,FALSE)," ")</f>
        <v>LSA230</v>
      </c>
      <c r="G153" s="435">
        <f>IFERROR(VLOOKUP($C153,[18]Nod!$A$3:$E$982,5,FALSE)," ")</f>
        <v>5</v>
      </c>
      <c r="K153" s="476"/>
      <c r="L153" s="416"/>
      <c r="M153" s="416"/>
    </row>
    <row r="154" spans="1:13" ht="15" customHeight="1">
      <c r="A154" s="346" t="s">
        <v>269</v>
      </c>
      <c r="B154" s="344" t="s">
        <v>156</v>
      </c>
      <c r="C154" s="352">
        <v>6008</v>
      </c>
      <c r="D154" s="438">
        <v>9.9</v>
      </c>
      <c r="E154" s="351">
        <v>0</v>
      </c>
      <c r="F154" s="435" t="str">
        <f>IFERROR(VLOOKUP($C154,[18]Nod!$A$3:$E$982,4,FALSE)," ")</f>
        <v>LSA230</v>
      </c>
      <c r="G154" s="435">
        <f>IFERROR(VLOOKUP($C154,[18]Nod!$A$3:$E$982,5,FALSE)," ")</f>
        <v>5</v>
      </c>
      <c r="K154" s="476"/>
      <c r="L154" s="416"/>
      <c r="M154" s="416"/>
    </row>
    <row r="155" spans="1:13" ht="15" customHeight="1">
      <c r="A155" s="346" t="s">
        <v>270</v>
      </c>
      <c r="B155" s="344" t="s">
        <v>156</v>
      </c>
      <c r="C155" s="352">
        <v>6008</v>
      </c>
      <c r="D155" s="514"/>
      <c r="E155" s="351">
        <v>0</v>
      </c>
      <c r="F155" s="435" t="str">
        <f>IFERROR(VLOOKUP($C155,[18]Nod!$A$3:$E$982,4,FALSE)," ")</f>
        <v>LSA230</v>
      </c>
      <c r="G155" s="435">
        <f>IFERROR(VLOOKUP($C155,[18]Nod!$A$3:$E$982,5,FALSE)," ")</f>
        <v>5</v>
      </c>
      <c r="K155" s="476"/>
      <c r="L155" s="416"/>
      <c r="M155" s="416"/>
    </row>
    <row r="156" spans="1:13" ht="15" customHeight="1">
      <c r="A156" s="346" t="s">
        <v>271</v>
      </c>
      <c r="B156" s="344" t="s">
        <v>156</v>
      </c>
      <c r="C156" s="352">
        <v>6008</v>
      </c>
      <c r="D156" s="438">
        <v>12</v>
      </c>
      <c r="E156" s="351">
        <v>0</v>
      </c>
      <c r="F156" s="435" t="str">
        <f>IFERROR(VLOOKUP($C156,[18]Nod!$A$3:$E$982,4,FALSE)," ")</f>
        <v>LSA230</v>
      </c>
      <c r="G156" s="435">
        <f>IFERROR(VLOOKUP($C156,[18]Nod!$A$3:$E$982,5,FALSE)," ")</f>
        <v>5</v>
      </c>
      <c r="K156" s="476"/>
      <c r="L156" s="416"/>
      <c r="M156" s="416"/>
    </row>
    <row r="157" spans="1:13" ht="15" customHeight="1">
      <c r="A157" s="347" t="s">
        <v>344</v>
      </c>
      <c r="B157" s="344" t="s">
        <v>156</v>
      </c>
      <c r="C157" s="352">
        <v>6008</v>
      </c>
      <c r="D157" s="514">
        <v>0.59</v>
      </c>
      <c r="E157" s="351">
        <v>0</v>
      </c>
      <c r="F157" s="435" t="str">
        <f>IFERROR(VLOOKUP($C157,[18]Nod!$A$3:$E$982,4,FALSE)," ")</f>
        <v>LSA230</v>
      </c>
      <c r="G157" s="435">
        <f>IFERROR(VLOOKUP($C157,[18]Nod!$A$3:$E$982,5,FALSE)," ")</f>
        <v>5</v>
      </c>
      <c r="K157" s="476"/>
      <c r="L157" s="416"/>
      <c r="M157" s="416"/>
    </row>
    <row r="158" spans="1:13" ht="15" customHeight="1">
      <c r="A158" s="347" t="s">
        <v>272</v>
      </c>
      <c r="B158" s="344" t="s">
        <v>156</v>
      </c>
      <c r="C158" s="352">
        <v>6008</v>
      </c>
      <c r="D158" s="438">
        <v>8.5</v>
      </c>
      <c r="E158" s="351">
        <v>0</v>
      </c>
      <c r="F158" s="435" t="str">
        <f>IFERROR(VLOOKUP($C158,[18]Nod!$A$3:$E$982,4,FALSE)," ")</f>
        <v>LSA230</v>
      </c>
      <c r="G158" s="435">
        <f>IFERROR(VLOOKUP($C158,[18]Nod!$A$3:$E$982,5,FALSE)," ")</f>
        <v>5</v>
      </c>
      <c r="K158" s="476"/>
      <c r="L158" s="416"/>
      <c r="M158" s="416"/>
    </row>
    <row r="159" spans="1:13" ht="15" customHeight="1">
      <c r="A159" s="347" t="s">
        <v>273</v>
      </c>
      <c r="B159" s="344" t="s">
        <v>156</v>
      </c>
      <c r="C159" s="352">
        <v>6008</v>
      </c>
      <c r="D159" s="438">
        <v>7.74</v>
      </c>
      <c r="E159" s="351">
        <v>6</v>
      </c>
      <c r="F159" s="435" t="str">
        <f>IFERROR(VLOOKUP($C159,[18]Nod!$A$3:$E$982,4,FALSE)," ")</f>
        <v>LSA230</v>
      </c>
      <c r="G159" s="435">
        <f>IFERROR(VLOOKUP($C159,[18]Nod!$A$3:$E$982,5,FALSE)," ")</f>
        <v>5</v>
      </c>
      <c r="K159" s="476"/>
      <c r="L159" s="416"/>
      <c r="M159" s="416"/>
    </row>
    <row r="160" spans="1:13" ht="15" customHeight="1">
      <c r="A160" s="347" t="s">
        <v>274</v>
      </c>
      <c r="B160" s="344" t="s">
        <v>156</v>
      </c>
      <c r="C160" s="352">
        <v>6008</v>
      </c>
      <c r="D160" s="438">
        <v>9.9</v>
      </c>
      <c r="E160" s="351">
        <v>2</v>
      </c>
      <c r="F160" s="435" t="str">
        <f>IFERROR(VLOOKUP($C160,[18]Nod!$A$3:$E$982,4,FALSE)," ")</f>
        <v>LSA230</v>
      </c>
      <c r="G160" s="435">
        <f>IFERROR(VLOOKUP($C160,[18]Nod!$A$3:$E$982,5,FALSE)," ")</f>
        <v>5</v>
      </c>
      <c r="K160" s="476"/>
      <c r="L160" s="416"/>
      <c r="M160" s="416"/>
    </row>
    <row r="161" spans="1:13" ht="15" customHeight="1">
      <c r="A161" s="347" t="s">
        <v>275</v>
      </c>
      <c r="B161" s="344" t="s">
        <v>156</v>
      </c>
      <c r="C161" s="352">
        <v>6008</v>
      </c>
      <c r="D161" s="438">
        <v>9.9</v>
      </c>
      <c r="E161" s="351">
        <v>2</v>
      </c>
      <c r="F161" s="435" t="str">
        <f>IFERROR(VLOOKUP($C161,[18]Nod!$A$3:$E$982,4,FALSE)," ")</f>
        <v>LSA230</v>
      </c>
      <c r="G161" s="435">
        <f>IFERROR(VLOOKUP($C161,[18]Nod!$A$3:$E$982,5,FALSE)," ")</f>
        <v>5</v>
      </c>
      <c r="K161" s="476"/>
      <c r="L161" s="416"/>
      <c r="M161" s="416"/>
    </row>
    <row r="162" spans="1:13" ht="15" customHeight="1">
      <c r="A162" s="347" t="s">
        <v>276</v>
      </c>
      <c r="B162" s="344" t="s">
        <v>156</v>
      </c>
      <c r="C162" s="352">
        <v>6008</v>
      </c>
      <c r="D162" s="438">
        <v>9.9</v>
      </c>
      <c r="E162" s="351">
        <v>2</v>
      </c>
      <c r="F162" s="435" t="str">
        <f>IFERROR(VLOOKUP($C162,[18]Nod!$A$3:$E$982,4,FALSE)," ")</f>
        <v>LSA230</v>
      </c>
      <c r="G162" s="435">
        <f>IFERROR(VLOOKUP($C162,[18]Nod!$A$3:$E$982,5,FALSE)," ")</f>
        <v>5</v>
      </c>
      <c r="K162" s="476"/>
      <c r="L162" s="416"/>
      <c r="M162" s="416"/>
    </row>
    <row r="163" spans="1:13" ht="15" customHeight="1">
      <c r="A163" s="347" t="s">
        <v>277</v>
      </c>
      <c r="B163" s="344" t="s">
        <v>156</v>
      </c>
      <c r="C163" s="352">
        <v>6008</v>
      </c>
      <c r="D163" s="438">
        <v>9.99</v>
      </c>
      <c r="E163" s="438">
        <v>6</v>
      </c>
      <c r="F163" s="435" t="str">
        <f>IFERROR(VLOOKUP($C163,[18]Nod!$A$3:$E$982,4,FALSE)," ")</f>
        <v>LSA230</v>
      </c>
      <c r="G163" s="435">
        <f>IFERROR(VLOOKUP($C163,[18]Nod!$A$3:$E$982,5,FALSE)," ")</f>
        <v>5</v>
      </c>
      <c r="K163" s="476"/>
      <c r="L163" s="416"/>
      <c r="M163" s="416"/>
    </row>
    <row r="164" spans="1:13" ht="15" customHeight="1">
      <c r="A164" s="347" t="s">
        <v>278</v>
      </c>
      <c r="B164" s="344" t="s">
        <v>212</v>
      </c>
      <c r="C164" s="352">
        <v>6008</v>
      </c>
      <c r="D164" s="438">
        <v>100</v>
      </c>
      <c r="E164" s="438">
        <v>0</v>
      </c>
      <c r="F164" s="435" t="str">
        <f>IFERROR(VLOOKUP($C164,[18]Nod!$A$3:$E$982,4,FALSE)," ")</f>
        <v>LSA230</v>
      </c>
      <c r="G164" s="435">
        <f>IFERROR(VLOOKUP($C164,[18]Nod!$A$3:$E$982,5,FALSE)," ")</f>
        <v>5</v>
      </c>
      <c r="K164" s="476"/>
      <c r="L164" s="416"/>
      <c r="M164" s="416"/>
    </row>
    <row r="165" spans="1:13" ht="15" customHeight="1">
      <c r="A165" s="460" t="s">
        <v>31</v>
      </c>
      <c r="B165" s="445"/>
      <c r="C165" s="446"/>
      <c r="D165" s="446"/>
      <c r="E165" s="461"/>
      <c r="F165" s="435" t="str">
        <f>IFERROR(VLOOKUP($C165,[18]Nod!$A$3:$E$982,4,FALSE)," ")</f>
        <v xml:space="preserve"> </v>
      </c>
      <c r="G165" s="435"/>
      <c r="K165" s="476"/>
      <c r="L165" s="416"/>
      <c r="M165" s="416"/>
    </row>
    <row r="166" spans="1:13" ht="15" customHeight="1">
      <c r="A166" s="436">
        <v>6</v>
      </c>
      <c r="B166" s="437"/>
      <c r="C166" s="432"/>
      <c r="D166" s="433">
        <f>SUM(D167:D186)</f>
        <v>281.45999999999998</v>
      </c>
      <c r="E166" s="434"/>
      <c r="F166" s="435" t="str">
        <f>IFERROR(VLOOKUP($C166,[18]Nod!$A$3:$E$982,4,FALSE)," ")</f>
        <v xml:space="preserve"> </v>
      </c>
      <c r="G166" s="435" t="str">
        <f>IFERROR(VLOOKUP($C166,[18]Nod!$A$3:$E$982,5,FALSE)," ")</f>
        <v xml:space="preserve"> </v>
      </c>
      <c r="K166" s="476"/>
      <c r="L166" s="416"/>
      <c r="M166" s="416"/>
    </row>
    <row r="167" spans="1:13" ht="15" customHeight="1">
      <c r="A167" s="343" t="s">
        <v>279</v>
      </c>
      <c r="B167" s="344" t="s">
        <v>212</v>
      </c>
      <c r="C167" s="349">
        <v>6005</v>
      </c>
      <c r="D167" s="478">
        <v>147</v>
      </c>
      <c r="E167" s="351">
        <v>0</v>
      </c>
      <c r="F167" s="435" t="str">
        <f>IFERROR(VLOOKUP($C167,[18]Nod!$A$3:$E$982,4,FALSE)," ")</f>
        <v>CHO230</v>
      </c>
      <c r="G167" s="435">
        <f>IFERROR(VLOOKUP($C167,[18]Nod!$A$3:$E$982,5,FALSE)," ")</f>
        <v>6</v>
      </c>
      <c r="K167" s="476"/>
      <c r="L167" s="416"/>
      <c r="M167" s="416"/>
    </row>
    <row r="168" spans="1:13" ht="15" customHeight="1">
      <c r="A168" s="343" t="s">
        <v>280</v>
      </c>
      <c r="B168" s="344" t="s">
        <v>156</v>
      </c>
      <c r="C168" s="467">
        <v>6240</v>
      </c>
      <c r="D168" s="514"/>
      <c r="E168" s="351">
        <v>0</v>
      </c>
      <c r="F168" s="435" t="str">
        <f>IFERROR(VLOOKUP($C168,[18]Nod!$A$3:$E$982,4,FALSE)," ")</f>
        <v>EHIG230</v>
      </c>
      <c r="G168" s="435">
        <f>IFERROR(VLOOKUP($C168,[18]Nod!$A$3:$E$982,5,FALSE)," ")</f>
        <v>6</v>
      </c>
      <c r="K168" s="476"/>
      <c r="L168" s="416"/>
      <c r="M168" s="416"/>
    </row>
    <row r="169" spans="1:13" ht="15" customHeight="1">
      <c r="A169" s="343" t="s">
        <v>281</v>
      </c>
      <c r="B169" s="344" t="s">
        <v>156</v>
      </c>
      <c r="C169" s="467">
        <v>6005</v>
      </c>
      <c r="D169" s="517"/>
      <c r="E169" s="351">
        <v>0</v>
      </c>
      <c r="F169" s="435" t="str">
        <f>IFERROR(VLOOKUP($C169,[18]Nod!$A$3:$E$982,4,FALSE)," ")</f>
        <v>CHO230</v>
      </c>
      <c r="G169" s="435">
        <f>IFERROR(VLOOKUP($C169,[18]Nod!$A$3:$E$982,5,FALSE)," ")</f>
        <v>6</v>
      </c>
      <c r="K169" s="476"/>
      <c r="L169" s="416"/>
      <c r="M169" s="416"/>
    </row>
    <row r="170" spans="1:13" ht="15" customHeight="1">
      <c r="A170" s="343" t="s">
        <v>282</v>
      </c>
      <c r="B170" s="344" t="s">
        <v>156</v>
      </c>
      <c r="C170" s="467">
        <v>6005</v>
      </c>
      <c r="D170" s="514"/>
      <c r="E170" s="351">
        <v>0</v>
      </c>
      <c r="F170" s="435" t="str">
        <f>IFERROR(VLOOKUP($C170,[18]Nod!$A$3:$E$982,4,FALSE)," ")</f>
        <v>CHO230</v>
      </c>
      <c r="G170" s="435">
        <f>IFERROR(VLOOKUP($C170,[18]Nod!$A$3:$E$982,5,FALSE)," ")</f>
        <v>6</v>
      </c>
      <c r="K170" s="476"/>
      <c r="L170" s="416"/>
      <c r="M170" s="416"/>
    </row>
    <row r="171" spans="1:13" ht="15" customHeight="1">
      <c r="A171" s="343" t="s">
        <v>283</v>
      </c>
      <c r="B171" s="344" t="s">
        <v>156</v>
      </c>
      <c r="C171" s="467">
        <v>6005</v>
      </c>
      <c r="D171" s="514"/>
      <c r="E171" s="351">
        <v>0</v>
      </c>
      <c r="F171" s="435" t="str">
        <f>IFERROR(VLOOKUP($C171,[18]Nod!$A$3:$E$982,4,FALSE)," ")</f>
        <v>CHO230</v>
      </c>
      <c r="G171" s="435">
        <f>IFERROR(VLOOKUP($C171,[18]Nod!$A$3:$E$982,5,FALSE)," ")</f>
        <v>6</v>
      </c>
      <c r="K171" s="476"/>
      <c r="L171" s="416"/>
      <c r="M171" s="416"/>
    </row>
    <row r="172" spans="1:13" ht="15" customHeight="1">
      <c r="A172" s="343" t="s">
        <v>284</v>
      </c>
      <c r="B172" s="344" t="s">
        <v>156</v>
      </c>
      <c r="C172" s="467">
        <v>6005</v>
      </c>
      <c r="D172" s="514"/>
      <c r="E172" s="351">
        <v>0</v>
      </c>
      <c r="F172" s="435" t="str">
        <f>IFERROR(VLOOKUP($C172,[18]Nod!$A$3:$E$982,4,FALSE)," ")</f>
        <v>CHO230</v>
      </c>
      <c r="G172" s="435">
        <f>IFERROR(VLOOKUP($C172,[18]Nod!$A$3:$E$982,5,FALSE)," ")</f>
        <v>6</v>
      </c>
      <c r="K172" s="476"/>
      <c r="L172" s="416"/>
      <c r="M172" s="416"/>
    </row>
    <row r="173" spans="1:13" ht="15" customHeight="1">
      <c r="A173" s="343" t="s">
        <v>285</v>
      </c>
      <c r="B173" s="344" t="s">
        <v>156</v>
      </c>
      <c r="C173" s="467">
        <v>6005</v>
      </c>
      <c r="D173" s="479">
        <v>19.8</v>
      </c>
      <c r="E173" s="351">
        <v>0</v>
      </c>
      <c r="F173" s="435" t="str">
        <f>IFERROR(VLOOKUP($C173,[18]Nod!$A$3:$E$982,4,FALSE)," ")</f>
        <v>CHO230</v>
      </c>
      <c r="G173" s="435">
        <f>IFERROR(VLOOKUP($C173,[18]Nod!$A$3:$E$982,5,FALSE)," ")</f>
        <v>6</v>
      </c>
      <c r="K173" s="476"/>
      <c r="L173" s="416"/>
      <c r="M173" s="416"/>
    </row>
    <row r="174" spans="1:13" ht="15" customHeight="1">
      <c r="A174" s="343" t="s">
        <v>286</v>
      </c>
      <c r="B174" s="344" t="s">
        <v>156</v>
      </c>
      <c r="C174" s="467">
        <v>6005</v>
      </c>
      <c r="D174" s="514"/>
      <c r="E174" s="351">
        <v>0</v>
      </c>
      <c r="F174" s="435" t="str">
        <f>IFERROR(VLOOKUP($C174,[18]Nod!$A$3:$E$982,4,FALSE)," ")</f>
        <v>CHO230</v>
      </c>
      <c r="G174" s="435">
        <f>IFERROR(VLOOKUP($C174,[18]Nod!$A$3:$E$982,5,FALSE)," ")</f>
        <v>6</v>
      </c>
      <c r="K174" s="476"/>
      <c r="L174" s="416"/>
      <c r="M174" s="416"/>
    </row>
    <row r="175" spans="1:13" ht="15" customHeight="1">
      <c r="A175" s="346" t="s">
        <v>287</v>
      </c>
      <c r="B175" s="344" t="s">
        <v>156</v>
      </c>
      <c r="C175" s="467">
        <v>6005</v>
      </c>
      <c r="D175" s="518"/>
      <c r="E175" s="351">
        <v>0</v>
      </c>
      <c r="F175" s="435" t="str">
        <f>IFERROR(VLOOKUP($C175,[18]Nod!$A$3:$E$982,4,FALSE)," ")</f>
        <v>CHO230</v>
      </c>
      <c r="G175" s="435">
        <f>IFERROR(VLOOKUP($C175,[18]Nod!$A$3:$E$982,5,FALSE)," ")</f>
        <v>6</v>
      </c>
      <c r="K175" s="476"/>
      <c r="L175" s="416"/>
      <c r="M175" s="416"/>
    </row>
    <row r="176" spans="1:13" ht="15" customHeight="1">
      <c r="A176" s="346" t="s">
        <v>288</v>
      </c>
      <c r="B176" s="344" t="s">
        <v>156</v>
      </c>
      <c r="C176" s="467">
        <v>6005</v>
      </c>
      <c r="D176" s="477">
        <v>9.9</v>
      </c>
      <c r="E176" s="351">
        <v>11</v>
      </c>
      <c r="F176" s="435" t="str">
        <f>IFERROR(VLOOKUP($C176,[18]Nod!$A$3:$E$982,4,FALSE)," ")</f>
        <v>CHO230</v>
      </c>
      <c r="G176" s="435">
        <f>IFERROR(VLOOKUP($C176,[18]Nod!$A$3:$E$982,5,FALSE)," ")</f>
        <v>6</v>
      </c>
      <c r="K176" s="476"/>
      <c r="L176" s="416"/>
      <c r="M176" s="416"/>
    </row>
    <row r="177" spans="1:13" ht="15" customHeight="1">
      <c r="A177" s="346" t="s">
        <v>289</v>
      </c>
      <c r="B177" s="344" t="s">
        <v>156</v>
      </c>
      <c r="C177" s="467">
        <v>6005</v>
      </c>
      <c r="D177" s="514"/>
      <c r="E177" s="351">
        <v>11</v>
      </c>
      <c r="F177" s="435" t="str">
        <f>IFERROR(VLOOKUP($C177,[18]Nod!$A$3:$E$982,4,FALSE)," ")</f>
        <v>CHO230</v>
      </c>
      <c r="G177" s="435">
        <f>IFERROR(VLOOKUP($C177,[18]Nod!$A$3:$E$982,5,FALSE)," ")</f>
        <v>6</v>
      </c>
      <c r="K177" s="476"/>
      <c r="L177" s="416"/>
      <c r="M177" s="416"/>
    </row>
    <row r="178" spans="1:13" ht="15" customHeight="1">
      <c r="A178" s="346" t="s">
        <v>290</v>
      </c>
      <c r="B178" s="344" t="s">
        <v>156</v>
      </c>
      <c r="C178" s="467">
        <v>6005</v>
      </c>
      <c r="D178" s="477">
        <v>9.9</v>
      </c>
      <c r="E178" s="351">
        <v>0</v>
      </c>
      <c r="F178" s="435" t="str">
        <f>IFERROR(VLOOKUP($C178,[18]Nod!$A$3:$E$982,4,FALSE)," ")</f>
        <v>CHO230</v>
      </c>
      <c r="G178" s="435">
        <f>IFERROR(VLOOKUP($C178,[18]Nod!$A$3:$E$982,5,FALSE)," ")</f>
        <v>6</v>
      </c>
      <c r="K178" s="476"/>
      <c r="L178" s="416"/>
      <c r="M178" s="416"/>
    </row>
    <row r="179" spans="1:13" ht="15" customHeight="1">
      <c r="A179" s="343" t="s">
        <v>291</v>
      </c>
      <c r="B179" s="344" t="s">
        <v>250</v>
      </c>
      <c r="C179" s="353">
        <v>6830</v>
      </c>
      <c r="D179" s="468">
        <v>66</v>
      </c>
      <c r="E179" s="351">
        <v>0</v>
      </c>
      <c r="F179" s="435" t="str">
        <f>IFERROR(VLOOKUP($C179,[18]Nod!$A$3:$E$982,4,FALSE)," ")</f>
        <v>ANT230</v>
      </c>
      <c r="G179" s="435">
        <f>IFERROR(VLOOKUP($C179,[18]Nod!$A$3:$E$982,5,FALSE)," ")</f>
        <v>6</v>
      </c>
      <c r="K179" s="476"/>
      <c r="L179" s="416"/>
      <c r="M179" s="416"/>
    </row>
    <row r="180" spans="1:13" ht="15" customHeight="1">
      <c r="A180" s="343" t="s">
        <v>336</v>
      </c>
      <c r="B180" s="344" t="s">
        <v>250</v>
      </c>
      <c r="C180" s="352">
        <v>6830</v>
      </c>
      <c r="D180" s="468"/>
      <c r="E180" s="351"/>
      <c r="F180" s="435" t="str">
        <f>IFERROR(VLOOKUP($C180,[18]Nod!$A$3:$E$982,4,FALSE)," ")</f>
        <v>ANT230</v>
      </c>
      <c r="G180" s="435">
        <f>IFERROR(VLOOKUP($C180,[18]Nod!$A$3:$E$982,5,FALSE)," ")</f>
        <v>6</v>
      </c>
      <c r="K180" s="476"/>
      <c r="L180" s="416"/>
      <c r="M180" s="416"/>
    </row>
    <row r="181" spans="1:13" ht="15" customHeight="1">
      <c r="A181" s="343" t="s">
        <v>337</v>
      </c>
      <c r="B181" s="344" t="s">
        <v>250</v>
      </c>
      <c r="C181" s="352">
        <v>6830</v>
      </c>
      <c r="D181" s="468"/>
      <c r="E181" s="351"/>
      <c r="F181" s="435" t="str">
        <f>IFERROR(VLOOKUP($C181,[18]Nod!$A$3:$E$982,4,FALSE)," ")</f>
        <v>ANT230</v>
      </c>
      <c r="G181" s="435">
        <f>IFERROR(VLOOKUP($C181,[18]Nod!$A$3:$E$982,5,FALSE)," ")</f>
        <v>6</v>
      </c>
      <c r="K181" s="476"/>
      <c r="L181" s="416"/>
      <c r="M181" s="416"/>
    </row>
    <row r="182" spans="1:13" ht="15" customHeight="1">
      <c r="A182" s="346" t="s">
        <v>292</v>
      </c>
      <c r="B182" s="344" t="s">
        <v>156</v>
      </c>
      <c r="C182" s="352">
        <v>6240</v>
      </c>
      <c r="D182" s="468">
        <v>9</v>
      </c>
      <c r="E182" s="351">
        <v>0</v>
      </c>
      <c r="F182" s="435" t="str">
        <f>IFERROR(VLOOKUP($C182,[18]Nod!$A$3:$E$982,4,FALSE)," ")</f>
        <v>EHIG230</v>
      </c>
      <c r="G182" s="435">
        <f>IFERROR(VLOOKUP($C182,[18]Nod!$A$3:$E$982,5,FALSE)," ")</f>
        <v>6</v>
      </c>
      <c r="L182" s="416"/>
      <c r="M182" s="416"/>
    </row>
    <row r="183" spans="1:13" ht="15" customHeight="1">
      <c r="A183" s="343" t="s">
        <v>338</v>
      </c>
      <c r="B183" s="344" t="s">
        <v>156</v>
      </c>
      <c r="C183" s="353">
        <v>6240</v>
      </c>
      <c r="D183" s="514"/>
      <c r="E183" s="351">
        <v>0</v>
      </c>
      <c r="F183" s="435" t="str">
        <f>IFERROR(VLOOKUP($C183,[18]Nod!$A$3:$E$982,4,FALSE)," ")</f>
        <v>EHIG230</v>
      </c>
      <c r="G183" s="435">
        <f>IFERROR(VLOOKUP($C183,[18]Nod!$A$3:$E$982,5,FALSE)," ")</f>
        <v>6</v>
      </c>
      <c r="L183" s="416"/>
      <c r="M183" s="416"/>
    </row>
    <row r="184" spans="1:13" ht="15" customHeight="1">
      <c r="A184" s="343" t="s">
        <v>293</v>
      </c>
      <c r="B184" s="344" t="s">
        <v>156</v>
      </c>
      <c r="C184" s="352">
        <v>6240</v>
      </c>
      <c r="D184" s="477">
        <v>9.9600000000000009</v>
      </c>
      <c r="E184" s="351">
        <v>0</v>
      </c>
      <c r="F184" s="435" t="str">
        <f>IFERROR(VLOOKUP($C184,[18]Nod!$A$3:$E$982,4,FALSE)," ")</f>
        <v>EHIG230</v>
      </c>
      <c r="G184" s="435">
        <f>IFERROR(VLOOKUP($C184,[18]Nod!$A$3:$E$982,5,FALSE)," ")</f>
        <v>6</v>
      </c>
      <c r="L184" s="416"/>
      <c r="M184" s="416"/>
    </row>
    <row r="185" spans="1:13" ht="15" customHeight="1">
      <c r="A185" s="343" t="s">
        <v>339</v>
      </c>
      <c r="B185" s="344" t="s">
        <v>156</v>
      </c>
      <c r="C185" s="353">
        <v>6240</v>
      </c>
      <c r="D185" s="468">
        <v>9.9</v>
      </c>
      <c r="E185" s="351">
        <v>0</v>
      </c>
      <c r="F185" s="435" t="str">
        <f>IFERROR(VLOOKUP($C185,[18]Nod!$A$3:$E$982,4,FALSE)," ")</f>
        <v>EHIG230</v>
      </c>
      <c r="G185" s="435">
        <f>IFERROR(VLOOKUP($C185,[18]Nod!$A$3:$E$982,5,FALSE)," ")</f>
        <v>6</v>
      </c>
      <c r="L185" s="416"/>
      <c r="M185" s="416"/>
    </row>
    <row r="186" spans="1:13" ht="15" customHeight="1">
      <c r="A186" s="347" t="s">
        <v>294</v>
      </c>
      <c r="B186" s="344" t="s">
        <v>250</v>
      </c>
      <c r="C186" s="352">
        <v>6830</v>
      </c>
      <c r="D186" s="438"/>
      <c r="E186" s="438"/>
      <c r="F186" s="435" t="str">
        <f>IFERROR(VLOOKUP($C186,[18]Nod!$A$3:$E$982,4,FALSE)," ")</f>
        <v>ANT230</v>
      </c>
      <c r="G186" s="435">
        <f>IFERROR(VLOOKUP($C186,[18]Nod!$A$3:$E$982,5,FALSE)," ")</f>
        <v>6</v>
      </c>
      <c r="L186" s="416"/>
      <c r="M186" s="416"/>
    </row>
    <row r="187" spans="1:13" ht="15" customHeight="1">
      <c r="A187" s="460" t="s">
        <v>31</v>
      </c>
      <c r="B187" s="445"/>
      <c r="C187" s="446"/>
      <c r="D187" s="446"/>
      <c r="E187" s="461"/>
      <c r="F187" s="435" t="str">
        <f>IFERROR(VLOOKUP($C187,[18]Nod!$A$3:$E$982,4,FALSE)," ")</f>
        <v xml:space="preserve"> </v>
      </c>
      <c r="G187" s="435" t="str">
        <f>IFERROR(VLOOKUP($C187,[18]Nod!$A$3:$E$982,5,FALSE)," ")</f>
        <v xml:space="preserve"> </v>
      </c>
      <c r="L187" s="416"/>
      <c r="M187" s="416"/>
    </row>
    <row r="188" spans="1:13" ht="15" customHeight="1">
      <c r="A188" s="436">
        <v>7</v>
      </c>
      <c r="B188" s="437"/>
      <c r="C188" s="432"/>
      <c r="D188" s="433">
        <f>SUM(D189:D192)</f>
        <v>153.13999999999999</v>
      </c>
      <c r="E188" s="434"/>
      <c r="F188" s="435" t="str">
        <f>IFERROR(VLOOKUP($C188,[18]Nod!$A$3:$E$982,4,FALSE)," ")</f>
        <v xml:space="preserve"> </v>
      </c>
      <c r="G188" s="435" t="str">
        <f>IFERROR(VLOOKUP($C188,[18]Nod!$A$3:$E$982,5,FALSE)," ")</f>
        <v xml:space="preserve"> </v>
      </c>
      <c r="L188" s="416"/>
      <c r="M188" s="416"/>
    </row>
    <row r="189" spans="1:13" ht="15" customHeight="1">
      <c r="A189" s="343" t="s">
        <v>295</v>
      </c>
      <c r="B189" s="344" t="s">
        <v>150</v>
      </c>
      <c r="C189" s="349">
        <v>6018</v>
      </c>
      <c r="D189" s="438">
        <v>99.61</v>
      </c>
      <c r="E189" s="351">
        <v>0</v>
      </c>
      <c r="F189" s="435" t="str">
        <f>IFERROR(VLOOKUP($C189,[18]Nod!$A$3:$E$982,4,FALSE)," ")</f>
        <v>CAC115</v>
      </c>
      <c r="G189" s="435">
        <f>IFERROR(VLOOKUP($C189,[18]Nod!$A$3:$E$982,5,FALSE)," ")</f>
        <v>7</v>
      </c>
      <c r="L189" s="416"/>
      <c r="M189" s="416"/>
    </row>
    <row r="190" spans="1:13" ht="15" customHeight="1">
      <c r="A190" s="343" t="s">
        <v>296</v>
      </c>
      <c r="B190" s="344" t="s">
        <v>212</v>
      </c>
      <c r="C190" s="349">
        <v>6171</v>
      </c>
      <c r="D190" s="438">
        <v>53.53</v>
      </c>
      <c r="E190" s="351">
        <v>0</v>
      </c>
      <c r="F190" s="435" t="str">
        <f>IFERROR(VLOOKUP($C190,[18]Nod!$A$3:$E$982,4,FALSE)," ")</f>
        <v>PAC230</v>
      </c>
      <c r="G190" s="435">
        <f>IFERROR(VLOOKUP($C190,[18]Nod!$A$3:$E$982,5,FALSE)," ")</f>
        <v>7</v>
      </c>
      <c r="L190" s="416"/>
      <c r="M190" s="416"/>
    </row>
    <row r="191" spans="1:13" ht="15" customHeight="1">
      <c r="A191" s="343" t="s">
        <v>345</v>
      </c>
      <c r="B191" s="344" t="s">
        <v>212</v>
      </c>
      <c r="C191" s="349">
        <v>6018</v>
      </c>
      <c r="D191" s="514"/>
      <c r="E191" s="351">
        <v>0</v>
      </c>
      <c r="F191" s="435" t="str">
        <f>IFERROR(VLOOKUP($C191,[18]Nod!$A$3:$E$982,4,FALSE)," ")</f>
        <v>CAC115</v>
      </c>
      <c r="G191" s="435">
        <f>IFERROR(VLOOKUP($C191,[18]Nod!$A$3:$E$982,5,FALSE)," ")</f>
        <v>7</v>
      </c>
      <c r="L191" s="416"/>
      <c r="M191" s="416"/>
    </row>
    <row r="192" spans="1:13" ht="15" customHeight="1">
      <c r="A192" s="480" t="s">
        <v>31</v>
      </c>
      <c r="B192" s="362"/>
      <c r="C192" s="440"/>
      <c r="D192" s="440"/>
      <c r="E192" s="454"/>
      <c r="F192" s="435" t="str">
        <f>IFERROR(VLOOKUP($C192,[18]Nod!$A$3:$E$982,4,FALSE)," ")</f>
        <v xml:space="preserve"> </v>
      </c>
      <c r="G192" s="435" t="str">
        <f>IFERROR(VLOOKUP($C192,[18]Nod!$A$3:$E$982,5,FALSE)," ")</f>
        <v xml:space="preserve"> </v>
      </c>
      <c r="L192" s="416"/>
      <c r="M192" s="416"/>
    </row>
    <row r="193" spans="1:13" ht="15" customHeight="1">
      <c r="A193" s="436">
        <v>8</v>
      </c>
      <c r="B193" s="437"/>
      <c r="C193" s="432"/>
      <c r="D193" s="433">
        <f>SUM(D194)</f>
        <v>260</v>
      </c>
      <c r="E193" s="434"/>
      <c r="F193" s="435" t="str">
        <f>IFERROR(VLOOKUP($C193,[18]Nod!$A$3:$E$982,4,FALSE)," ")</f>
        <v xml:space="preserve"> </v>
      </c>
      <c r="G193" s="435" t="str">
        <f>IFERROR(VLOOKUP($C193,[18]Nod!$A$3:$E$982,5,FALSE)," ")</f>
        <v xml:space="preserve"> </v>
      </c>
      <c r="L193" s="416"/>
      <c r="M193" s="416"/>
    </row>
    <row r="194" spans="1:13" ht="15" customHeight="1">
      <c r="A194" s="355" t="s">
        <v>297</v>
      </c>
      <c r="B194" s="344" t="s">
        <v>150</v>
      </c>
      <c r="C194" s="349">
        <v>6100</v>
      </c>
      <c r="D194" s="438">
        <v>260</v>
      </c>
      <c r="E194" s="351">
        <v>0</v>
      </c>
      <c r="F194" s="435" t="str">
        <f>IFERROR(VLOOKUP($C194,[18]Nod!$A$3:$E$982,4,FALSE)," ")</f>
        <v>BAY230</v>
      </c>
      <c r="G194" s="435">
        <f>IFERROR(VLOOKUP($C194,[18]Nod!$A$3:$E$982,5,FALSE)," ")</f>
        <v>8</v>
      </c>
      <c r="L194" s="416"/>
      <c r="M194" s="416"/>
    </row>
    <row r="195" spans="1:13" ht="15" customHeight="1">
      <c r="A195" s="480" t="s">
        <v>31</v>
      </c>
      <c r="B195" s="362"/>
      <c r="C195" s="440"/>
      <c r="D195" s="440"/>
      <c r="E195" s="454"/>
      <c r="F195" s="435" t="str">
        <f>IFERROR(VLOOKUP($C195,[18]Nod!$A$3:$E$982,4,FALSE)," ")</f>
        <v xml:space="preserve"> </v>
      </c>
      <c r="G195" s="435" t="str">
        <f>IFERROR(VLOOKUP($C195,[18]Nod!$A$3:$E$982,5,FALSE)," ")</f>
        <v xml:space="preserve"> </v>
      </c>
      <c r="L195" s="416"/>
      <c r="M195" s="416"/>
    </row>
    <row r="196" spans="1:13" ht="15" customHeight="1">
      <c r="A196" s="436">
        <v>9</v>
      </c>
      <c r="B196" s="437"/>
      <c r="C196" s="432"/>
      <c r="D196" s="433">
        <f>SUM(D197:D202)</f>
        <v>1376.25</v>
      </c>
      <c r="E196" s="434"/>
      <c r="F196" s="435" t="str">
        <f>IFERROR(VLOOKUP($C196,[18]Nod!$A$3:$E$982,4,FALSE)," ")</f>
        <v xml:space="preserve"> </v>
      </c>
      <c r="G196" s="435" t="str">
        <f>IFERROR(VLOOKUP($C196,[18]Nod!$A$3:$E$982,5,FALSE)," ")</f>
        <v xml:space="preserve"> </v>
      </c>
      <c r="L196" s="416"/>
      <c r="M196" s="416"/>
    </row>
    <row r="197" spans="1:13" ht="15" customHeight="1">
      <c r="A197" s="343" t="s">
        <v>298</v>
      </c>
      <c r="B197" s="344" t="s">
        <v>212</v>
      </c>
      <c r="C197" s="349">
        <v>6059</v>
      </c>
      <c r="D197" s="438">
        <v>121</v>
      </c>
      <c r="E197" s="351">
        <v>0</v>
      </c>
      <c r="F197" s="435" t="str">
        <f>IFERROR(VLOOKUP($C197,[18]Nod!$A$3:$E$982,4,FALSE)," ")</f>
        <v>LM1115</v>
      </c>
      <c r="G197" s="435">
        <f>IFERROR(VLOOKUP($C197,[18]Nod!$A$3:$E$982,5,FALSE)," ")</f>
        <v>9</v>
      </c>
      <c r="L197" s="416"/>
      <c r="M197" s="416"/>
    </row>
    <row r="198" spans="1:13" ht="15" customHeight="1">
      <c r="A198" s="343" t="s">
        <v>299</v>
      </c>
      <c r="B198" s="344" t="s">
        <v>212</v>
      </c>
      <c r="C198" s="349">
        <v>6059</v>
      </c>
      <c r="D198" s="438">
        <v>150</v>
      </c>
      <c r="E198" s="351">
        <v>0</v>
      </c>
      <c r="F198" s="435" t="str">
        <f>IFERROR(VLOOKUP($C198,[18]Nod!$A$3:$E$982,4,FALSE)," ")</f>
        <v>LM1115</v>
      </c>
      <c r="G198" s="435">
        <f>IFERROR(VLOOKUP($C198,[18]Nod!$A$3:$E$982,5,FALSE)," ")</f>
        <v>9</v>
      </c>
      <c r="L198" s="416"/>
      <c r="M198" s="416"/>
    </row>
    <row r="199" spans="1:13" ht="15" customHeight="1">
      <c r="A199" s="343" t="s">
        <v>300</v>
      </c>
      <c r="B199" s="344" t="s">
        <v>212</v>
      </c>
      <c r="C199" s="349">
        <v>6059</v>
      </c>
      <c r="D199" s="438">
        <v>381</v>
      </c>
      <c r="E199" s="351">
        <v>0</v>
      </c>
      <c r="F199" s="435" t="str">
        <f>IFERROR(VLOOKUP($C199,[18]Nod!$A$3:$E$982,4,FALSE)," ")</f>
        <v>LM1115</v>
      </c>
      <c r="G199" s="435">
        <f>IFERROR(VLOOKUP($C199,[18]Nod!$A$3:$E$982,5,FALSE)," ")</f>
        <v>9</v>
      </c>
      <c r="L199" s="416"/>
      <c r="M199" s="416"/>
    </row>
    <row r="200" spans="1:13" ht="15" customHeight="1">
      <c r="A200" s="343" t="s">
        <v>301</v>
      </c>
      <c r="B200" s="344" t="s">
        <v>212</v>
      </c>
      <c r="C200" s="349">
        <v>6173</v>
      </c>
      <c r="D200" s="438">
        <v>5.05</v>
      </c>
      <c r="E200" s="351">
        <v>0</v>
      </c>
      <c r="F200" s="435" t="str">
        <f>IFERROR(VLOOKUP($C200,[18]Nod!$A$3:$E$982,4,FALSE)," ")</f>
        <v>STR115</v>
      </c>
      <c r="G200" s="435">
        <f>IFERROR(VLOOKUP($C200,[18]Nod!$A$3:$E$982,5,FALSE)," ")</f>
        <v>9</v>
      </c>
      <c r="L200" s="416"/>
      <c r="M200" s="416"/>
    </row>
    <row r="201" spans="1:13" ht="15" customHeight="1">
      <c r="A201" s="343" t="s">
        <v>302</v>
      </c>
      <c r="B201" s="344" t="s">
        <v>212</v>
      </c>
      <c r="C201" s="349">
        <v>6173</v>
      </c>
      <c r="D201" s="438">
        <v>49.2</v>
      </c>
      <c r="E201" s="351">
        <v>0</v>
      </c>
      <c r="F201" s="435" t="str">
        <f>IFERROR(VLOOKUP($C201,[18]Nod!$A$3:$E$982,4,FALSE)," ")</f>
        <v>STR115</v>
      </c>
      <c r="G201" s="435">
        <f>IFERROR(VLOOKUP($C201,[18]Nod!$A$3:$E$982,5,FALSE)," ")</f>
        <v>9</v>
      </c>
      <c r="L201" s="416"/>
      <c r="M201" s="416"/>
    </row>
    <row r="202" spans="1:13" ht="15" customHeight="1">
      <c r="A202" s="343" t="s">
        <v>303</v>
      </c>
      <c r="B202" s="344" t="s">
        <v>212</v>
      </c>
      <c r="C202" s="349">
        <v>6059</v>
      </c>
      <c r="D202" s="438">
        <v>670</v>
      </c>
      <c r="E202" s="351">
        <v>0</v>
      </c>
      <c r="F202" s="435" t="str">
        <f>IFERROR(VLOOKUP($C202,[18]Nod!$A$3:$E$982,4,FALSE)," ")</f>
        <v>LM1115</v>
      </c>
      <c r="G202" s="435">
        <f>IFERROR(VLOOKUP($C202,[18]Nod!$A$3:$E$982,5,FALSE)," ")</f>
        <v>9</v>
      </c>
      <c r="L202" s="416"/>
      <c r="M202" s="416"/>
    </row>
    <row r="203" spans="1:13" ht="15" customHeight="1">
      <c r="A203" s="480" t="s">
        <v>31</v>
      </c>
      <c r="B203" s="362"/>
      <c r="C203" s="440"/>
      <c r="D203" s="440"/>
      <c r="E203" s="454"/>
      <c r="F203" s="435" t="str">
        <f>IFERROR(VLOOKUP($C203,[18]Nod!$A$3:$E$982,4,FALSE)," ")</f>
        <v xml:space="preserve"> </v>
      </c>
      <c r="G203" s="435" t="str">
        <f>IFERROR(VLOOKUP($C203,[18]Nod!$A$3:$E$982,5,FALSE)," ")</f>
        <v xml:space="preserve"> </v>
      </c>
      <c r="L203" s="416"/>
      <c r="M203" s="416"/>
    </row>
    <row r="204" spans="1:13" ht="15" customHeight="1">
      <c r="A204" s="436">
        <v>10</v>
      </c>
      <c r="B204" s="437"/>
      <c r="C204" s="432"/>
      <c r="D204" s="433">
        <f>SUM(D205:D206)</f>
        <v>254.8</v>
      </c>
      <c r="E204" s="434"/>
      <c r="F204" s="435" t="str">
        <f>IFERROR(VLOOKUP($C204,[18]Nod!$A$3:$E$982,4,FALSE)," ")</f>
        <v xml:space="preserve"> </v>
      </c>
      <c r="G204" s="435" t="str">
        <f>IFERROR(VLOOKUP($C204,[18]Nod!$A$3:$E$982,5,FALSE)," ")</f>
        <v xml:space="preserve"> </v>
      </c>
      <c r="L204" s="416"/>
      <c r="M204" s="416"/>
    </row>
    <row r="205" spans="1:13" ht="15" customHeight="1">
      <c r="A205" s="356" t="s">
        <v>304</v>
      </c>
      <c r="B205" s="344" t="s">
        <v>150</v>
      </c>
      <c r="C205" s="349">
        <v>6263</v>
      </c>
      <c r="D205" s="452">
        <v>223</v>
      </c>
      <c r="E205" s="351">
        <v>0</v>
      </c>
      <c r="F205" s="435" t="str">
        <f>IFERROR(VLOOKUP($C205,[18]Nod!$A$3:$E$982,4,FALSE)," ")</f>
        <v>ESP230</v>
      </c>
      <c r="G205" s="435">
        <f>IFERROR(VLOOKUP($C205,[18]Nod!$A$3:$E$982,5,FALSE)," ")</f>
        <v>10</v>
      </c>
      <c r="L205" s="416"/>
      <c r="M205" s="416"/>
    </row>
    <row r="206" spans="1:13" ht="15" customHeight="1">
      <c r="A206" s="356" t="s">
        <v>305</v>
      </c>
      <c r="B206" s="344" t="s">
        <v>150</v>
      </c>
      <c r="C206" s="349">
        <v>6263</v>
      </c>
      <c r="D206" s="452">
        <v>31.8</v>
      </c>
      <c r="E206" s="351">
        <v>0</v>
      </c>
      <c r="F206" s="435" t="str">
        <f>IFERROR(VLOOKUP($C206,[18]Nod!$A$3:$E$982,4,FALSE)," ")</f>
        <v>ESP230</v>
      </c>
      <c r="G206" s="435">
        <f>IFERROR(VLOOKUP($C206,[18]Nod!$A$3:$E$982,5,FALSE)," ")</f>
        <v>10</v>
      </c>
      <c r="L206" s="416"/>
      <c r="M206" s="416"/>
    </row>
    <row r="207" spans="1:13" ht="15" customHeight="1">
      <c r="A207" s="481" t="s">
        <v>31</v>
      </c>
      <c r="B207" s="445"/>
      <c r="C207" s="446"/>
      <c r="D207" s="446"/>
      <c r="E207" s="461"/>
      <c r="F207" s="362"/>
      <c r="G207" s="362"/>
      <c r="L207" s="416"/>
      <c r="M207" s="416"/>
    </row>
    <row r="208" spans="1:13" ht="15" customHeight="1">
      <c r="L208" s="416"/>
      <c r="M208" s="416"/>
    </row>
    <row r="209" spans="1:13" ht="15" customHeight="1">
      <c r="A209" s="536" t="s">
        <v>306</v>
      </c>
      <c r="B209" s="537"/>
      <c r="C209" s="537"/>
      <c r="D209" s="537"/>
      <c r="E209" s="537"/>
      <c r="F209" s="537"/>
      <c r="G209" s="537"/>
      <c r="L209" s="416"/>
      <c r="M209" s="416"/>
    </row>
    <row r="210" spans="1:13" ht="15" customHeight="1">
      <c r="A210" s="536" t="s">
        <v>307</v>
      </c>
      <c r="B210" s="537"/>
      <c r="C210" s="537"/>
      <c r="D210" s="537"/>
      <c r="E210" s="537"/>
      <c r="F210" s="537"/>
      <c r="G210" s="537"/>
      <c r="L210" s="416"/>
      <c r="M210" s="416"/>
    </row>
    <row r="211" spans="1:13" ht="15" customHeight="1">
      <c r="A211" s="536" t="s">
        <v>308</v>
      </c>
      <c r="B211" s="537"/>
      <c r="C211" s="537"/>
      <c r="D211" s="537"/>
      <c r="E211" s="537"/>
      <c r="F211" s="537"/>
      <c r="G211" s="537"/>
      <c r="L211" s="416"/>
      <c r="M211" s="416"/>
    </row>
    <row r="212" spans="1:13" ht="15" customHeight="1">
      <c r="A212" s="536" t="s">
        <v>309</v>
      </c>
      <c r="B212" s="537"/>
      <c r="C212" s="537"/>
      <c r="D212" s="537"/>
      <c r="E212" s="537"/>
      <c r="F212" s="537"/>
      <c r="G212" s="537"/>
      <c r="L212" s="416"/>
      <c r="M212" s="416"/>
    </row>
    <row r="213" spans="1:13" ht="15" customHeight="1">
      <c r="A213" s="533" t="s">
        <v>310</v>
      </c>
      <c r="B213" s="534"/>
      <c r="C213" s="534"/>
      <c r="D213" s="534"/>
      <c r="E213" s="534"/>
      <c r="F213" s="534"/>
      <c r="G213" s="534"/>
      <c r="L213" s="416"/>
      <c r="M213" s="416"/>
    </row>
    <row r="214" spans="1:13" ht="15" customHeight="1">
      <c r="F214" s="416"/>
      <c r="G214" s="416"/>
      <c r="L214" s="416"/>
      <c r="M214" s="416"/>
    </row>
    <row r="215" spans="1:13" ht="15" customHeight="1">
      <c r="F215" s="416"/>
      <c r="G215" s="416"/>
      <c r="L215" s="416"/>
      <c r="M215" s="416"/>
    </row>
    <row r="216" spans="1:13" ht="15" customHeight="1">
      <c r="F216" s="416"/>
      <c r="G216" s="416"/>
      <c r="L216" s="416"/>
      <c r="M216" s="416"/>
    </row>
    <row r="217" spans="1:13" ht="15" customHeight="1">
      <c r="F217" s="416"/>
      <c r="G217" s="416"/>
      <c r="L217" s="416"/>
      <c r="M217" s="416"/>
    </row>
    <row r="218" spans="1:13" ht="15" customHeight="1">
      <c r="F218" s="416"/>
      <c r="G218" s="416"/>
      <c r="L218" s="416"/>
      <c r="M218" s="416"/>
    </row>
    <row r="219" spans="1:13" ht="15" customHeight="1">
      <c r="F219" s="416"/>
      <c r="G219" s="416"/>
      <c r="L219" s="416"/>
      <c r="M219" s="416"/>
    </row>
    <row r="220" spans="1:13" ht="15" customHeight="1">
      <c r="F220" s="416"/>
      <c r="G220" s="416"/>
      <c r="L220" s="416"/>
      <c r="M220" s="416"/>
    </row>
    <row r="221" spans="1:13" ht="15" customHeight="1">
      <c r="F221" s="416"/>
      <c r="G221" s="416"/>
      <c r="L221" s="416"/>
      <c r="M221" s="416"/>
    </row>
    <row r="222" spans="1:13" ht="15" customHeight="1">
      <c r="F222" s="416"/>
      <c r="G222" s="416"/>
      <c r="L222" s="416"/>
      <c r="M222" s="416"/>
    </row>
    <row r="223" spans="1:13" ht="15" customHeight="1">
      <c r="F223" s="416"/>
      <c r="G223" s="416"/>
      <c r="L223" s="416"/>
      <c r="M223" s="416"/>
    </row>
    <row r="224" spans="1:13" ht="15" customHeight="1">
      <c r="F224" s="416"/>
      <c r="G224" s="416"/>
      <c r="L224" s="416"/>
      <c r="M224" s="416"/>
    </row>
    <row r="225" spans="6:13" ht="15" customHeight="1">
      <c r="F225" s="416"/>
      <c r="G225" s="416"/>
      <c r="L225" s="416"/>
      <c r="M225" s="416"/>
    </row>
    <row r="226" spans="6:13" ht="15" customHeight="1">
      <c r="F226" s="416"/>
      <c r="G226" s="416"/>
      <c r="L226" s="416"/>
      <c r="M226" s="416"/>
    </row>
    <row r="227" spans="6:13" ht="15" customHeight="1">
      <c r="F227" s="416"/>
      <c r="G227" s="416"/>
      <c r="L227" s="416"/>
      <c r="M227" s="416"/>
    </row>
    <row r="228" spans="6:13" ht="15" customHeight="1">
      <c r="F228" s="416"/>
      <c r="G228" s="416"/>
      <c r="L228" s="416"/>
      <c r="M228" s="416"/>
    </row>
    <row r="229" spans="6:13" ht="15" customHeight="1">
      <c r="F229" s="416"/>
      <c r="G229" s="416"/>
      <c r="L229" s="416"/>
      <c r="M229" s="416"/>
    </row>
    <row r="230" spans="6:13" ht="15" customHeight="1">
      <c r="F230" s="416"/>
      <c r="G230" s="416"/>
      <c r="L230" s="416"/>
      <c r="M230" s="416"/>
    </row>
    <row r="231" spans="6:13" ht="15" customHeight="1">
      <c r="F231" s="416"/>
      <c r="G231" s="416"/>
      <c r="L231" s="416"/>
      <c r="M231" s="416"/>
    </row>
    <row r="232" spans="6:13" ht="15" customHeight="1">
      <c r="F232" s="416"/>
      <c r="G232" s="416"/>
      <c r="L232" s="416"/>
      <c r="M232" s="416"/>
    </row>
    <row r="233" spans="6:13" ht="15" customHeight="1">
      <c r="F233" s="416"/>
      <c r="G233" s="416"/>
      <c r="L233" s="416"/>
      <c r="M233" s="416"/>
    </row>
    <row r="234" spans="6:13" ht="15" customHeight="1">
      <c r="F234" s="416"/>
      <c r="G234" s="416"/>
      <c r="L234" s="416"/>
      <c r="M234" s="416"/>
    </row>
    <row r="235" spans="6:13" ht="15" customHeight="1">
      <c r="F235" s="416"/>
      <c r="G235" s="416"/>
      <c r="L235" s="416"/>
      <c r="M235" s="416"/>
    </row>
    <row r="236" spans="6:13" ht="15" customHeight="1">
      <c r="F236" s="416"/>
      <c r="G236" s="416"/>
      <c r="L236" s="416"/>
      <c r="M236" s="416"/>
    </row>
    <row r="237" spans="6:13" ht="15" customHeight="1">
      <c r="L237" s="416"/>
      <c r="M237" s="416"/>
    </row>
    <row r="238" spans="6:13" ht="15" customHeight="1">
      <c r="L238" s="416"/>
      <c r="M238" s="416"/>
    </row>
    <row r="239" spans="6:13" ht="15" customHeight="1">
      <c r="L239" s="416"/>
      <c r="M239" s="416"/>
    </row>
    <row r="240" spans="6:13" ht="15" customHeight="1">
      <c r="L240" s="416"/>
      <c r="M240" s="416"/>
    </row>
    <row r="241" spans="12:13" ht="15" customHeight="1">
      <c r="L241" s="416"/>
      <c r="M241" s="416"/>
    </row>
    <row r="242" spans="12:13" ht="15" customHeight="1">
      <c r="L242" s="416"/>
      <c r="M242" s="416"/>
    </row>
  </sheetData>
  <mergeCells count="6">
    <mergeCell ref="A213:G213"/>
    <mergeCell ref="A9:L9"/>
    <mergeCell ref="A209:G209"/>
    <mergeCell ref="A210:G210"/>
    <mergeCell ref="A211:G211"/>
    <mergeCell ref="A212:G212"/>
  </mergeCells>
  <conditionalFormatting sqref="B11:L12">
    <cfRule type="cellIs" dxfId="80" priority="12" operator="equal">
      <formula>0</formula>
    </cfRule>
  </conditionalFormatting>
  <conditionalFormatting sqref="E18:E35">
    <cfRule type="cellIs" dxfId="79" priority="6" operator="equal">
      <formula>0</formula>
    </cfRule>
  </conditionalFormatting>
  <conditionalFormatting sqref="E38:E55 E194 E197:E202">
    <cfRule type="cellIs" dxfId="78" priority="9" operator="equal">
      <formula>0</formula>
    </cfRule>
  </conditionalFormatting>
  <conditionalFormatting sqref="E57">
    <cfRule type="cellIs" dxfId="77" priority="4" operator="equal">
      <formula>0</formula>
    </cfRule>
  </conditionalFormatting>
  <conditionalFormatting sqref="E59:E102">
    <cfRule type="cellIs" dxfId="76" priority="8" operator="equal">
      <formula>0</formula>
    </cfRule>
  </conditionalFormatting>
  <conditionalFormatting sqref="E116">
    <cfRule type="cellIs" dxfId="75" priority="3" operator="equal">
      <formula>0</formula>
    </cfRule>
  </conditionalFormatting>
  <conditionalFormatting sqref="E118:E150">
    <cfRule type="cellIs" dxfId="74" priority="5" operator="equal">
      <formula>0</formula>
    </cfRule>
  </conditionalFormatting>
  <conditionalFormatting sqref="E165">
    <cfRule type="cellIs" dxfId="73" priority="2" operator="equal">
      <formula>0</formula>
    </cfRule>
  </conditionalFormatting>
  <conditionalFormatting sqref="E187">
    <cfRule type="cellIs" dxfId="72" priority="1" operator="equal">
      <formula>0</formula>
    </cfRule>
  </conditionalFormatting>
  <conditionalFormatting sqref="E189:E191">
    <cfRule type="cellIs" dxfId="71" priority="7" operator="equal">
      <formula>0</formula>
    </cfRule>
  </conditionalFormatting>
  <conditionalFormatting sqref="K127:K181 E167:E174 E179:E181 E183:E185">
    <cfRule type="cellIs" dxfId="70" priority="13" operator="equal">
      <formula>0</formula>
    </cfRule>
  </conditionalFormatting>
  <conditionalFormatting sqref="M11:M12">
    <cfRule type="cellIs" dxfId="69" priority="10" stopIfTrue="1" operator="notEqual">
      <formula>L11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5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66A6C-9AAF-442E-99C6-77B43351468B}">
  <sheetPr>
    <pageSetUpPr fitToPage="1"/>
  </sheetPr>
  <dimension ref="A1:R236"/>
  <sheetViews>
    <sheetView topLeftCell="A17" zoomScale="70" zoomScaleNormal="70" workbookViewId="0">
      <selection activeCell="O16" sqref="O16"/>
    </sheetView>
  </sheetViews>
  <sheetFormatPr baseColWidth="10" defaultColWidth="8.7109375" defaultRowHeight="15" customHeight="1"/>
  <cols>
    <col min="1" max="1" width="49.140625" style="36" customWidth="1"/>
    <col min="2" max="2" width="16.42578125" style="36" customWidth="1"/>
    <col min="3" max="3" width="8.7109375" style="36"/>
    <col min="4" max="4" width="11.42578125" style="36" customWidth="1"/>
    <col min="5" max="5" width="9.42578125" style="36" customWidth="1"/>
    <col min="6" max="6" width="9.7109375" style="36" bestFit="1" customWidth="1"/>
    <col min="7" max="7" width="8.7109375" style="36"/>
    <col min="8" max="8" width="25" style="36" customWidth="1"/>
    <col min="9" max="9" width="12.85546875" style="36" customWidth="1"/>
    <col min="10" max="10" width="8.7109375" style="36"/>
    <col min="11" max="11" width="15.7109375" style="36" customWidth="1"/>
    <col min="12" max="12" width="11.28515625" style="36" bestFit="1" customWidth="1"/>
    <col min="13" max="13" width="12.140625" style="36" customWidth="1"/>
    <col min="14" max="14" width="9.7109375" style="36" customWidth="1"/>
    <col min="15" max="15" width="54.5703125" style="36" customWidth="1"/>
    <col min="16" max="16" width="29.28515625" style="36" bestFit="1" customWidth="1"/>
    <col min="17" max="17" width="11.5703125" style="36" customWidth="1"/>
    <col min="18" max="18" width="13.42578125" style="36" customWidth="1"/>
    <col min="19" max="26" width="6.7109375" style="36" customWidth="1"/>
    <col min="27" max="256" width="8.7109375" style="36"/>
    <col min="257" max="257" width="49.140625" style="36" customWidth="1"/>
    <col min="258" max="258" width="16.42578125" style="36" customWidth="1"/>
    <col min="259" max="259" width="8.7109375" style="36"/>
    <col min="260" max="260" width="11.42578125" style="36" customWidth="1"/>
    <col min="261" max="261" width="9.42578125" style="36" customWidth="1"/>
    <col min="262" max="262" width="9.7109375" style="36" bestFit="1" customWidth="1"/>
    <col min="263" max="263" width="8.7109375" style="36"/>
    <col min="264" max="264" width="25" style="36" customWidth="1"/>
    <col min="265" max="265" width="12.85546875" style="36" customWidth="1"/>
    <col min="266" max="266" width="8.7109375" style="36"/>
    <col min="267" max="267" width="15.7109375" style="36" customWidth="1"/>
    <col min="268" max="268" width="11.28515625" style="36" bestFit="1" customWidth="1"/>
    <col min="269" max="269" width="12.140625" style="36" customWidth="1"/>
    <col min="270" max="270" width="9.7109375" style="36" customWidth="1"/>
    <col min="271" max="271" width="54.5703125" style="36" customWidth="1"/>
    <col min="272" max="272" width="29.28515625" style="36" bestFit="1" customWidth="1"/>
    <col min="273" max="273" width="11.5703125" style="36" customWidth="1"/>
    <col min="274" max="274" width="13.42578125" style="36" customWidth="1"/>
    <col min="275" max="282" width="6.7109375" style="36" customWidth="1"/>
    <col min="283" max="512" width="8.7109375" style="36"/>
    <col min="513" max="513" width="49.140625" style="36" customWidth="1"/>
    <col min="514" max="514" width="16.42578125" style="36" customWidth="1"/>
    <col min="515" max="515" width="8.7109375" style="36"/>
    <col min="516" max="516" width="11.42578125" style="36" customWidth="1"/>
    <col min="517" max="517" width="9.42578125" style="36" customWidth="1"/>
    <col min="518" max="518" width="9.7109375" style="36" bestFit="1" customWidth="1"/>
    <col min="519" max="519" width="8.7109375" style="36"/>
    <col min="520" max="520" width="25" style="36" customWidth="1"/>
    <col min="521" max="521" width="12.85546875" style="36" customWidth="1"/>
    <col min="522" max="522" width="8.7109375" style="36"/>
    <col min="523" max="523" width="15.7109375" style="36" customWidth="1"/>
    <col min="524" max="524" width="11.28515625" style="36" bestFit="1" customWidth="1"/>
    <col min="525" max="525" width="12.140625" style="36" customWidth="1"/>
    <col min="526" max="526" width="9.7109375" style="36" customWidth="1"/>
    <col min="527" max="527" width="54.5703125" style="36" customWidth="1"/>
    <col min="528" max="528" width="29.28515625" style="36" bestFit="1" customWidth="1"/>
    <col min="529" max="529" width="11.5703125" style="36" customWidth="1"/>
    <col min="530" max="530" width="13.42578125" style="36" customWidth="1"/>
    <col min="531" max="538" width="6.7109375" style="36" customWidth="1"/>
    <col min="539" max="768" width="8.7109375" style="36"/>
    <col min="769" max="769" width="49.140625" style="36" customWidth="1"/>
    <col min="770" max="770" width="16.42578125" style="36" customWidth="1"/>
    <col min="771" max="771" width="8.7109375" style="36"/>
    <col min="772" max="772" width="11.42578125" style="36" customWidth="1"/>
    <col min="773" max="773" width="9.42578125" style="36" customWidth="1"/>
    <col min="774" max="774" width="9.7109375" style="36" bestFit="1" customWidth="1"/>
    <col min="775" max="775" width="8.7109375" style="36"/>
    <col min="776" max="776" width="25" style="36" customWidth="1"/>
    <col min="777" max="777" width="12.85546875" style="36" customWidth="1"/>
    <col min="778" max="778" width="8.7109375" style="36"/>
    <col min="779" max="779" width="15.7109375" style="36" customWidth="1"/>
    <col min="780" max="780" width="11.28515625" style="36" bestFit="1" customWidth="1"/>
    <col min="781" max="781" width="12.140625" style="36" customWidth="1"/>
    <col min="782" max="782" width="9.7109375" style="36" customWidth="1"/>
    <col min="783" max="783" width="54.5703125" style="36" customWidth="1"/>
    <col min="784" max="784" width="29.28515625" style="36" bestFit="1" customWidth="1"/>
    <col min="785" max="785" width="11.5703125" style="36" customWidth="1"/>
    <col min="786" max="786" width="13.42578125" style="36" customWidth="1"/>
    <col min="787" max="794" width="6.7109375" style="36" customWidth="1"/>
    <col min="795" max="1024" width="8.7109375" style="36"/>
    <col min="1025" max="1025" width="49.140625" style="36" customWidth="1"/>
    <col min="1026" max="1026" width="16.42578125" style="36" customWidth="1"/>
    <col min="1027" max="1027" width="8.7109375" style="36"/>
    <col min="1028" max="1028" width="11.42578125" style="36" customWidth="1"/>
    <col min="1029" max="1029" width="9.42578125" style="36" customWidth="1"/>
    <col min="1030" max="1030" width="9.7109375" style="36" bestFit="1" customWidth="1"/>
    <col min="1031" max="1031" width="8.7109375" style="36"/>
    <col min="1032" max="1032" width="25" style="36" customWidth="1"/>
    <col min="1033" max="1033" width="12.85546875" style="36" customWidth="1"/>
    <col min="1034" max="1034" width="8.7109375" style="36"/>
    <col min="1035" max="1035" width="15.7109375" style="36" customWidth="1"/>
    <col min="1036" max="1036" width="11.28515625" style="36" bestFit="1" customWidth="1"/>
    <col min="1037" max="1037" width="12.140625" style="36" customWidth="1"/>
    <col min="1038" max="1038" width="9.7109375" style="36" customWidth="1"/>
    <col min="1039" max="1039" width="54.5703125" style="36" customWidth="1"/>
    <col min="1040" max="1040" width="29.28515625" style="36" bestFit="1" customWidth="1"/>
    <col min="1041" max="1041" width="11.5703125" style="36" customWidth="1"/>
    <col min="1042" max="1042" width="13.42578125" style="36" customWidth="1"/>
    <col min="1043" max="1050" width="6.7109375" style="36" customWidth="1"/>
    <col min="1051" max="1280" width="8.7109375" style="36"/>
    <col min="1281" max="1281" width="49.140625" style="36" customWidth="1"/>
    <col min="1282" max="1282" width="16.42578125" style="36" customWidth="1"/>
    <col min="1283" max="1283" width="8.7109375" style="36"/>
    <col min="1284" max="1284" width="11.42578125" style="36" customWidth="1"/>
    <col min="1285" max="1285" width="9.42578125" style="36" customWidth="1"/>
    <col min="1286" max="1286" width="9.7109375" style="36" bestFit="1" customWidth="1"/>
    <col min="1287" max="1287" width="8.7109375" style="36"/>
    <col min="1288" max="1288" width="25" style="36" customWidth="1"/>
    <col min="1289" max="1289" width="12.85546875" style="36" customWidth="1"/>
    <col min="1290" max="1290" width="8.7109375" style="36"/>
    <col min="1291" max="1291" width="15.7109375" style="36" customWidth="1"/>
    <col min="1292" max="1292" width="11.28515625" style="36" bestFit="1" customWidth="1"/>
    <col min="1293" max="1293" width="12.140625" style="36" customWidth="1"/>
    <col min="1294" max="1294" width="9.7109375" style="36" customWidth="1"/>
    <col min="1295" max="1295" width="54.5703125" style="36" customWidth="1"/>
    <col min="1296" max="1296" width="29.28515625" style="36" bestFit="1" customWidth="1"/>
    <col min="1297" max="1297" width="11.5703125" style="36" customWidth="1"/>
    <col min="1298" max="1298" width="13.42578125" style="36" customWidth="1"/>
    <col min="1299" max="1306" width="6.7109375" style="36" customWidth="1"/>
    <col min="1307" max="1536" width="8.7109375" style="36"/>
    <col min="1537" max="1537" width="49.140625" style="36" customWidth="1"/>
    <col min="1538" max="1538" width="16.42578125" style="36" customWidth="1"/>
    <col min="1539" max="1539" width="8.7109375" style="36"/>
    <col min="1540" max="1540" width="11.42578125" style="36" customWidth="1"/>
    <col min="1541" max="1541" width="9.42578125" style="36" customWidth="1"/>
    <col min="1542" max="1542" width="9.7109375" style="36" bestFit="1" customWidth="1"/>
    <col min="1543" max="1543" width="8.7109375" style="36"/>
    <col min="1544" max="1544" width="25" style="36" customWidth="1"/>
    <col min="1545" max="1545" width="12.85546875" style="36" customWidth="1"/>
    <col min="1546" max="1546" width="8.7109375" style="36"/>
    <col min="1547" max="1547" width="15.7109375" style="36" customWidth="1"/>
    <col min="1548" max="1548" width="11.28515625" style="36" bestFit="1" customWidth="1"/>
    <col min="1549" max="1549" width="12.140625" style="36" customWidth="1"/>
    <col min="1550" max="1550" width="9.7109375" style="36" customWidth="1"/>
    <col min="1551" max="1551" width="54.5703125" style="36" customWidth="1"/>
    <col min="1552" max="1552" width="29.28515625" style="36" bestFit="1" customWidth="1"/>
    <col min="1553" max="1553" width="11.5703125" style="36" customWidth="1"/>
    <col min="1554" max="1554" width="13.42578125" style="36" customWidth="1"/>
    <col min="1555" max="1562" width="6.7109375" style="36" customWidth="1"/>
    <col min="1563" max="1792" width="8.7109375" style="36"/>
    <col min="1793" max="1793" width="49.140625" style="36" customWidth="1"/>
    <col min="1794" max="1794" width="16.42578125" style="36" customWidth="1"/>
    <col min="1795" max="1795" width="8.7109375" style="36"/>
    <col min="1796" max="1796" width="11.42578125" style="36" customWidth="1"/>
    <col min="1797" max="1797" width="9.42578125" style="36" customWidth="1"/>
    <col min="1798" max="1798" width="9.7109375" style="36" bestFit="1" customWidth="1"/>
    <col min="1799" max="1799" width="8.7109375" style="36"/>
    <col min="1800" max="1800" width="25" style="36" customWidth="1"/>
    <col min="1801" max="1801" width="12.85546875" style="36" customWidth="1"/>
    <col min="1802" max="1802" width="8.7109375" style="36"/>
    <col min="1803" max="1803" width="15.7109375" style="36" customWidth="1"/>
    <col min="1804" max="1804" width="11.28515625" style="36" bestFit="1" customWidth="1"/>
    <col min="1805" max="1805" width="12.140625" style="36" customWidth="1"/>
    <col min="1806" max="1806" width="9.7109375" style="36" customWidth="1"/>
    <col min="1807" max="1807" width="54.5703125" style="36" customWidth="1"/>
    <col min="1808" max="1808" width="29.28515625" style="36" bestFit="1" customWidth="1"/>
    <col min="1809" max="1809" width="11.5703125" style="36" customWidth="1"/>
    <col min="1810" max="1810" width="13.42578125" style="36" customWidth="1"/>
    <col min="1811" max="1818" width="6.7109375" style="36" customWidth="1"/>
    <col min="1819" max="2048" width="8.7109375" style="36"/>
    <col min="2049" max="2049" width="49.140625" style="36" customWidth="1"/>
    <col min="2050" max="2050" width="16.42578125" style="36" customWidth="1"/>
    <col min="2051" max="2051" width="8.7109375" style="36"/>
    <col min="2052" max="2052" width="11.42578125" style="36" customWidth="1"/>
    <col min="2053" max="2053" width="9.42578125" style="36" customWidth="1"/>
    <col min="2054" max="2054" width="9.7109375" style="36" bestFit="1" customWidth="1"/>
    <col min="2055" max="2055" width="8.7109375" style="36"/>
    <col min="2056" max="2056" width="25" style="36" customWidth="1"/>
    <col min="2057" max="2057" width="12.85546875" style="36" customWidth="1"/>
    <col min="2058" max="2058" width="8.7109375" style="36"/>
    <col min="2059" max="2059" width="15.7109375" style="36" customWidth="1"/>
    <col min="2060" max="2060" width="11.28515625" style="36" bestFit="1" customWidth="1"/>
    <col min="2061" max="2061" width="12.140625" style="36" customWidth="1"/>
    <col min="2062" max="2062" width="9.7109375" style="36" customWidth="1"/>
    <col min="2063" max="2063" width="54.5703125" style="36" customWidth="1"/>
    <col min="2064" max="2064" width="29.28515625" style="36" bestFit="1" customWidth="1"/>
    <col min="2065" max="2065" width="11.5703125" style="36" customWidth="1"/>
    <col min="2066" max="2066" width="13.42578125" style="36" customWidth="1"/>
    <col min="2067" max="2074" width="6.7109375" style="36" customWidth="1"/>
    <col min="2075" max="2304" width="8.7109375" style="36"/>
    <col min="2305" max="2305" width="49.140625" style="36" customWidth="1"/>
    <col min="2306" max="2306" width="16.42578125" style="36" customWidth="1"/>
    <col min="2307" max="2307" width="8.7109375" style="36"/>
    <col min="2308" max="2308" width="11.42578125" style="36" customWidth="1"/>
    <col min="2309" max="2309" width="9.42578125" style="36" customWidth="1"/>
    <col min="2310" max="2310" width="9.7109375" style="36" bestFit="1" customWidth="1"/>
    <col min="2311" max="2311" width="8.7109375" style="36"/>
    <col min="2312" max="2312" width="25" style="36" customWidth="1"/>
    <col min="2313" max="2313" width="12.85546875" style="36" customWidth="1"/>
    <col min="2314" max="2314" width="8.7109375" style="36"/>
    <col min="2315" max="2315" width="15.7109375" style="36" customWidth="1"/>
    <col min="2316" max="2316" width="11.28515625" style="36" bestFit="1" customWidth="1"/>
    <col min="2317" max="2317" width="12.140625" style="36" customWidth="1"/>
    <col min="2318" max="2318" width="9.7109375" style="36" customWidth="1"/>
    <col min="2319" max="2319" width="54.5703125" style="36" customWidth="1"/>
    <col min="2320" max="2320" width="29.28515625" style="36" bestFit="1" customWidth="1"/>
    <col min="2321" max="2321" width="11.5703125" style="36" customWidth="1"/>
    <col min="2322" max="2322" width="13.42578125" style="36" customWidth="1"/>
    <col min="2323" max="2330" width="6.7109375" style="36" customWidth="1"/>
    <col min="2331" max="2560" width="8.7109375" style="36"/>
    <col min="2561" max="2561" width="49.140625" style="36" customWidth="1"/>
    <col min="2562" max="2562" width="16.42578125" style="36" customWidth="1"/>
    <col min="2563" max="2563" width="8.7109375" style="36"/>
    <col min="2564" max="2564" width="11.42578125" style="36" customWidth="1"/>
    <col min="2565" max="2565" width="9.42578125" style="36" customWidth="1"/>
    <col min="2566" max="2566" width="9.7109375" style="36" bestFit="1" customWidth="1"/>
    <col min="2567" max="2567" width="8.7109375" style="36"/>
    <col min="2568" max="2568" width="25" style="36" customWidth="1"/>
    <col min="2569" max="2569" width="12.85546875" style="36" customWidth="1"/>
    <col min="2570" max="2570" width="8.7109375" style="36"/>
    <col min="2571" max="2571" width="15.7109375" style="36" customWidth="1"/>
    <col min="2572" max="2572" width="11.28515625" style="36" bestFit="1" customWidth="1"/>
    <col min="2573" max="2573" width="12.140625" style="36" customWidth="1"/>
    <col min="2574" max="2574" width="9.7109375" style="36" customWidth="1"/>
    <col min="2575" max="2575" width="54.5703125" style="36" customWidth="1"/>
    <col min="2576" max="2576" width="29.28515625" style="36" bestFit="1" customWidth="1"/>
    <col min="2577" max="2577" width="11.5703125" style="36" customWidth="1"/>
    <col min="2578" max="2578" width="13.42578125" style="36" customWidth="1"/>
    <col min="2579" max="2586" width="6.7109375" style="36" customWidth="1"/>
    <col min="2587" max="2816" width="8.7109375" style="36"/>
    <col min="2817" max="2817" width="49.140625" style="36" customWidth="1"/>
    <col min="2818" max="2818" width="16.42578125" style="36" customWidth="1"/>
    <col min="2819" max="2819" width="8.7109375" style="36"/>
    <col min="2820" max="2820" width="11.42578125" style="36" customWidth="1"/>
    <col min="2821" max="2821" width="9.42578125" style="36" customWidth="1"/>
    <col min="2822" max="2822" width="9.7109375" style="36" bestFit="1" customWidth="1"/>
    <col min="2823" max="2823" width="8.7109375" style="36"/>
    <col min="2824" max="2824" width="25" style="36" customWidth="1"/>
    <col min="2825" max="2825" width="12.85546875" style="36" customWidth="1"/>
    <col min="2826" max="2826" width="8.7109375" style="36"/>
    <col min="2827" max="2827" width="15.7109375" style="36" customWidth="1"/>
    <col min="2828" max="2828" width="11.28515625" style="36" bestFit="1" customWidth="1"/>
    <col min="2829" max="2829" width="12.140625" style="36" customWidth="1"/>
    <col min="2830" max="2830" width="9.7109375" style="36" customWidth="1"/>
    <col min="2831" max="2831" width="54.5703125" style="36" customWidth="1"/>
    <col min="2832" max="2832" width="29.28515625" style="36" bestFit="1" customWidth="1"/>
    <col min="2833" max="2833" width="11.5703125" style="36" customWidth="1"/>
    <col min="2834" max="2834" width="13.42578125" style="36" customWidth="1"/>
    <col min="2835" max="2842" width="6.7109375" style="36" customWidth="1"/>
    <col min="2843" max="3072" width="8.7109375" style="36"/>
    <col min="3073" max="3073" width="49.140625" style="36" customWidth="1"/>
    <col min="3074" max="3074" width="16.42578125" style="36" customWidth="1"/>
    <col min="3075" max="3075" width="8.7109375" style="36"/>
    <col min="3076" max="3076" width="11.42578125" style="36" customWidth="1"/>
    <col min="3077" max="3077" width="9.42578125" style="36" customWidth="1"/>
    <col min="3078" max="3078" width="9.7109375" style="36" bestFit="1" customWidth="1"/>
    <col min="3079" max="3079" width="8.7109375" style="36"/>
    <col min="3080" max="3080" width="25" style="36" customWidth="1"/>
    <col min="3081" max="3081" width="12.85546875" style="36" customWidth="1"/>
    <col min="3082" max="3082" width="8.7109375" style="36"/>
    <col min="3083" max="3083" width="15.7109375" style="36" customWidth="1"/>
    <col min="3084" max="3084" width="11.28515625" style="36" bestFit="1" customWidth="1"/>
    <col min="3085" max="3085" width="12.140625" style="36" customWidth="1"/>
    <col min="3086" max="3086" width="9.7109375" style="36" customWidth="1"/>
    <col min="3087" max="3087" width="54.5703125" style="36" customWidth="1"/>
    <col min="3088" max="3088" width="29.28515625" style="36" bestFit="1" customWidth="1"/>
    <col min="3089" max="3089" width="11.5703125" style="36" customWidth="1"/>
    <col min="3090" max="3090" width="13.42578125" style="36" customWidth="1"/>
    <col min="3091" max="3098" width="6.7109375" style="36" customWidth="1"/>
    <col min="3099" max="3328" width="8.7109375" style="36"/>
    <col min="3329" max="3329" width="49.140625" style="36" customWidth="1"/>
    <col min="3330" max="3330" width="16.42578125" style="36" customWidth="1"/>
    <col min="3331" max="3331" width="8.7109375" style="36"/>
    <col min="3332" max="3332" width="11.42578125" style="36" customWidth="1"/>
    <col min="3333" max="3333" width="9.42578125" style="36" customWidth="1"/>
    <col min="3334" max="3334" width="9.7109375" style="36" bestFit="1" customWidth="1"/>
    <col min="3335" max="3335" width="8.7109375" style="36"/>
    <col min="3336" max="3336" width="25" style="36" customWidth="1"/>
    <col min="3337" max="3337" width="12.85546875" style="36" customWidth="1"/>
    <col min="3338" max="3338" width="8.7109375" style="36"/>
    <col min="3339" max="3339" width="15.7109375" style="36" customWidth="1"/>
    <col min="3340" max="3340" width="11.28515625" style="36" bestFit="1" customWidth="1"/>
    <col min="3341" max="3341" width="12.140625" style="36" customWidth="1"/>
    <col min="3342" max="3342" width="9.7109375" style="36" customWidth="1"/>
    <col min="3343" max="3343" width="54.5703125" style="36" customWidth="1"/>
    <col min="3344" max="3344" width="29.28515625" style="36" bestFit="1" customWidth="1"/>
    <col min="3345" max="3345" width="11.5703125" style="36" customWidth="1"/>
    <col min="3346" max="3346" width="13.42578125" style="36" customWidth="1"/>
    <col min="3347" max="3354" width="6.7109375" style="36" customWidth="1"/>
    <col min="3355" max="3584" width="8.7109375" style="36"/>
    <col min="3585" max="3585" width="49.140625" style="36" customWidth="1"/>
    <col min="3586" max="3586" width="16.42578125" style="36" customWidth="1"/>
    <col min="3587" max="3587" width="8.7109375" style="36"/>
    <col min="3588" max="3588" width="11.42578125" style="36" customWidth="1"/>
    <col min="3589" max="3589" width="9.42578125" style="36" customWidth="1"/>
    <col min="3590" max="3590" width="9.7109375" style="36" bestFit="1" customWidth="1"/>
    <col min="3591" max="3591" width="8.7109375" style="36"/>
    <col min="3592" max="3592" width="25" style="36" customWidth="1"/>
    <col min="3593" max="3593" width="12.85546875" style="36" customWidth="1"/>
    <col min="3594" max="3594" width="8.7109375" style="36"/>
    <col min="3595" max="3595" width="15.7109375" style="36" customWidth="1"/>
    <col min="3596" max="3596" width="11.28515625" style="36" bestFit="1" customWidth="1"/>
    <col min="3597" max="3597" width="12.140625" style="36" customWidth="1"/>
    <col min="3598" max="3598" width="9.7109375" style="36" customWidth="1"/>
    <col min="3599" max="3599" width="54.5703125" style="36" customWidth="1"/>
    <col min="3600" max="3600" width="29.28515625" style="36" bestFit="1" customWidth="1"/>
    <col min="3601" max="3601" width="11.5703125" style="36" customWidth="1"/>
    <col min="3602" max="3602" width="13.42578125" style="36" customWidth="1"/>
    <col min="3603" max="3610" width="6.7109375" style="36" customWidth="1"/>
    <col min="3611" max="3840" width="8.7109375" style="36"/>
    <col min="3841" max="3841" width="49.140625" style="36" customWidth="1"/>
    <col min="3842" max="3842" width="16.42578125" style="36" customWidth="1"/>
    <col min="3843" max="3843" width="8.7109375" style="36"/>
    <col min="3844" max="3844" width="11.42578125" style="36" customWidth="1"/>
    <col min="3845" max="3845" width="9.42578125" style="36" customWidth="1"/>
    <col min="3846" max="3846" width="9.7109375" style="36" bestFit="1" customWidth="1"/>
    <col min="3847" max="3847" width="8.7109375" style="36"/>
    <col min="3848" max="3848" width="25" style="36" customWidth="1"/>
    <col min="3849" max="3849" width="12.85546875" style="36" customWidth="1"/>
    <col min="3850" max="3850" width="8.7109375" style="36"/>
    <col min="3851" max="3851" width="15.7109375" style="36" customWidth="1"/>
    <col min="3852" max="3852" width="11.28515625" style="36" bestFit="1" customWidth="1"/>
    <col min="3853" max="3853" width="12.140625" style="36" customWidth="1"/>
    <col min="3854" max="3854" width="9.7109375" style="36" customWidth="1"/>
    <col min="3855" max="3855" width="54.5703125" style="36" customWidth="1"/>
    <col min="3856" max="3856" width="29.28515625" style="36" bestFit="1" customWidth="1"/>
    <col min="3857" max="3857" width="11.5703125" style="36" customWidth="1"/>
    <col min="3858" max="3858" width="13.42578125" style="36" customWidth="1"/>
    <col min="3859" max="3866" width="6.7109375" style="36" customWidth="1"/>
    <col min="3867" max="4096" width="8.7109375" style="36"/>
    <col min="4097" max="4097" width="49.140625" style="36" customWidth="1"/>
    <col min="4098" max="4098" width="16.42578125" style="36" customWidth="1"/>
    <col min="4099" max="4099" width="8.7109375" style="36"/>
    <col min="4100" max="4100" width="11.42578125" style="36" customWidth="1"/>
    <col min="4101" max="4101" width="9.42578125" style="36" customWidth="1"/>
    <col min="4102" max="4102" width="9.7109375" style="36" bestFit="1" customWidth="1"/>
    <col min="4103" max="4103" width="8.7109375" style="36"/>
    <col min="4104" max="4104" width="25" style="36" customWidth="1"/>
    <col min="4105" max="4105" width="12.85546875" style="36" customWidth="1"/>
    <col min="4106" max="4106" width="8.7109375" style="36"/>
    <col min="4107" max="4107" width="15.7109375" style="36" customWidth="1"/>
    <col min="4108" max="4108" width="11.28515625" style="36" bestFit="1" customWidth="1"/>
    <col min="4109" max="4109" width="12.140625" style="36" customWidth="1"/>
    <col min="4110" max="4110" width="9.7109375" style="36" customWidth="1"/>
    <col min="4111" max="4111" width="54.5703125" style="36" customWidth="1"/>
    <col min="4112" max="4112" width="29.28515625" style="36" bestFit="1" customWidth="1"/>
    <col min="4113" max="4113" width="11.5703125" style="36" customWidth="1"/>
    <col min="4114" max="4114" width="13.42578125" style="36" customWidth="1"/>
    <col min="4115" max="4122" width="6.7109375" style="36" customWidth="1"/>
    <col min="4123" max="4352" width="8.7109375" style="36"/>
    <col min="4353" max="4353" width="49.140625" style="36" customWidth="1"/>
    <col min="4354" max="4354" width="16.42578125" style="36" customWidth="1"/>
    <col min="4355" max="4355" width="8.7109375" style="36"/>
    <col min="4356" max="4356" width="11.42578125" style="36" customWidth="1"/>
    <col min="4357" max="4357" width="9.42578125" style="36" customWidth="1"/>
    <col min="4358" max="4358" width="9.7109375" style="36" bestFit="1" customWidth="1"/>
    <col min="4359" max="4359" width="8.7109375" style="36"/>
    <col min="4360" max="4360" width="25" style="36" customWidth="1"/>
    <col min="4361" max="4361" width="12.85546875" style="36" customWidth="1"/>
    <col min="4362" max="4362" width="8.7109375" style="36"/>
    <col min="4363" max="4363" width="15.7109375" style="36" customWidth="1"/>
    <col min="4364" max="4364" width="11.28515625" style="36" bestFit="1" customWidth="1"/>
    <col min="4365" max="4365" width="12.140625" style="36" customWidth="1"/>
    <col min="4366" max="4366" width="9.7109375" style="36" customWidth="1"/>
    <col min="4367" max="4367" width="54.5703125" style="36" customWidth="1"/>
    <col min="4368" max="4368" width="29.28515625" style="36" bestFit="1" customWidth="1"/>
    <col min="4369" max="4369" width="11.5703125" style="36" customWidth="1"/>
    <col min="4370" max="4370" width="13.42578125" style="36" customWidth="1"/>
    <col min="4371" max="4378" width="6.7109375" style="36" customWidth="1"/>
    <col min="4379" max="4608" width="8.7109375" style="36"/>
    <col min="4609" max="4609" width="49.140625" style="36" customWidth="1"/>
    <col min="4610" max="4610" width="16.42578125" style="36" customWidth="1"/>
    <col min="4611" max="4611" width="8.7109375" style="36"/>
    <col min="4612" max="4612" width="11.42578125" style="36" customWidth="1"/>
    <col min="4613" max="4613" width="9.42578125" style="36" customWidth="1"/>
    <col min="4614" max="4614" width="9.7109375" style="36" bestFit="1" customWidth="1"/>
    <col min="4615" max="4615" width="8.7109375" style="36"/>
    <col min="4616" max="4616" width="25" style="36" customWidth="1"/>
    <col min="4617" max="4617" width="12.85546875" style="36" customWidth="1"/>
    <col min="4618" max="4618" width="8.7109375" style="36"/>
    <col min="4619" max="4619" width="15.7109375" style="36" customWidth="1"/>
    <col min="4620" max="4620" width="11.28515625" style="36" bestFit="1" customWidth="1"/>
    <col min="4621" max="4621" width="12.140625" style="36" customWidth="1"/>
    <col min="4622" max="4622" width="9.7109375" style="36" customWidth="1"/>
    <col min="4623" max="4623" width="54.5703125" style="36" customWidth="1"/>
    <col min="4624" max="4624" width="29.28515625" style="36" bestFit="1" customWidth="1"/>
    <col min="4625" max="4625" width="11.5703125" style="36" customWidth="1"/>
    <col min="4626" max="4626" width="13.42578125" style="36" customWidth="1"/>
    <col min="4627" max="4634" width="6.7109375" style="36" customWidth="1"/>
    <col min="4635" max="4864" width="8.7109375" style="36"/>
    <col min="4865" max="4865" width="49.140625" style="36" customWidth="1"/>
    <col min="4866" max="4866" width="16.42578125" style="36" customWidth="1"/>
    <col min="4867" max="4867" width="8.7109375" style="36"/>
    <col min="4868" max="4868" width="11.42578125" style="36" customWidth="1"/>
    <col min="4869" max="4869" width="9.42578125" style="36" customWidth="1"/>
    <col min="4870" max="4870" width="9.7109375" style="36" bestFit="1" customWidth="1"/>
    <col min="4871" max="4871" width="8.7109375" style="36"/>
    <col min="4872" max="4872" width="25" style="36" customWidth="1"/>
    <col min="4873" max="4873" width="12.85546875" style="36" customWidth="1"/>
    <col min="4874" max="4874" width="8.7109375" style="36"/>
    <col min="4875" max="4875" width="15.7109375" style="36" customWidth="1"/>
    <col min="4876" max="4876" width="11.28515625" style="36" bestFit="1" customWidth="1"/>
    <col min="4877" max="4877" width="12.140625" style="36" customWidth="1"/>
    <col min="4878" max="4878" width="9.7109375" style="36" customWidth="1"/>
    <col min="4879" max="4879" width="54.5703125" style="36" customWidth="1"/>
    <col min="4880" max="4880" width="29.28515625" style="36" bestFit="1" customWidth="1"/>
    <col min="4881" max="4881" width="11.5703125" style="36" customWidth="1"/>
    <col min="4882" max="4882" width="13.42578125" style="36" customWidth="1"/>
    <col min="4883" max="4890" width="6.7109375" style="36" customWidth="1"/>
    <col min="4891" max="5120" width="8.7109375" style="36"/>
    <col min="5121" max="5121" width="49.140625" style="36" customWidth="1"/>
    <col min="5122" max="5122" width="16.42578125" style="36" customWidth="1"/>
    <col min="5123" max="5123" width="8.7109375" style="36"/>
    <col min="5124" max="5124" width="11.42578125" style="36" customWidth="1"/>
    <col min="5125" max="5125" width="9.42578125" style="36" customWidth="1"/>
    <col min="5126" max="5126" width="9.7109375" style="36" bestFit="1" customWidth="1"/>
    <col min="5127" max="5127" width="8.7109375" style="36"/>
    <col min="5128" max="5128" width="25" style="36" customWidth="1"/>
    <col min="5129" max="5129" width="12.85546875" style="36" customWidth="1"/>
    <col min="5130" max="5130" width="8.7109375" style="36"/>
    <col min="5131" max="5131" width="15.7109375" style="36" customWidth="1"/>
    <col min="5132" max="5132" width="11.28515625" style="36" bestFit="1" customWidth="1"/>
    <col min="5133" max="5133" width="12.140625" style="36" customWidth="1"/>
    <col min="5134" max="5134" width="9.7109375" style="36" customWidth="1"/>
    <col min="5135" max="5135" width="54.5703125" style="36" customWidth="1"/>
    <col min="5136" max="5136" width="29.28515625" style="36" bestFit="1" customWidth="1"/>
    <col min="5137" max="5137" width="11.5703125" style="36" customWidth="1"/>
    <col min="5138" max="5138" width="13.42578125" style="36" customWidth="1"/>
    <col min="5139" max="5146" width="6.7109375" style="36" customWidth="1"/>
    <col min="5147" max="5376" width="8.7109375" style="36"/>
    <col min="5377" max="5377" width="49.140625" style="36" customWidth="1"/>
    <col min="5378" max="5378" width="16.42578125" style="36" customWidth="1"/>
    <col min="5379" max="5379" width="8.7109375" style="36"/>
    <col min="5380" max="5380" width="11.42578125" style="36" customWidth="1"/>
    <col min="5381" max="5381" width="9.42578125" style="36" customWidth="1"/>
    <col min="5382" max="5382" width="9.7109375" style="36" bestFit="1" customWidth="1"/>
    <col min="5383" max="5383" width="8.7109375" style="36"/>
    <col min="5384" max="5384" width="25" style="36" customWidth="1"/>
    <col min="5385" max="5385" width="12.85546875" style="36" customWidth="1"/>
    <col min="5386" max="5386" width="8.7109375" style="36"/>
    <col min="5387" max="5387" width="15.7109375" style="36" customWidth="1"/>
    <col min="5388" max="5388" width="11.28515625" style="36" bestFit="1" customWidth="1"/>
    <col min="5389" max="5389" width="12.140625" style="36" customWidth="1"/>
    <col min="5390" max="5390" width="9.7109375" style="36" customWidth="1"/>
    <col min="5391" max="5391" width="54.5703125" style="36" customWidth="1"/>
    <col min="5392" max="5392" width="29.28515625" style="36" bestFit="1" customWidth="1"/>
    <col min="5393" max="5393" width="11.5703125" style="36" customWidth="1"/>
    <col min="5394" max="5394" width="13.42578125" style="36" customWidth="1"/>
    <col min="5395" max="5402" width="6.7109375" style="36" customWidth="1"/>
    <col min="5403" max="5632" width="8.7109375" style="36"/>
    <col min="5633" max="5633" width="49.140625" style="36" customWidth="1"/>
    <col min="5634" max="5634" width="16.42578125" style="36" customWidth="1"/>
    <col min="5635" max="5635" width="8.7109375" style="36"/>
    <col min="5636" max="5636" width="11.42578125" style="36" customWidth="1"/>
    <col min="5637" max="5637" width="9.42578125" style="36" customWidth="1"/>
    <col min="5638" max="5638" width="9.7109375" style="36" bestFit="1" customWidth="1"/>
    <col min="5639" max="5639" width="8.7109375" style="36"/>
    <col min="5640" max="5640" width="25" style="36" customWidth="1"/>
    <col min="5641" max="5641" width="12.85546875" style="36" customWidth="1"/>
    <col min="5642" max="5642" width="8.7109375" style="36"/>
    <col min="5643" max="5643" width="15.7109375" style="36" customWidth="1"/>
    <col min="5644" max="5644" width="11.28515625" style="36" bestFit="1" customWidth="1"/>
    <col min="5645" max="5645" width="12.140625" style="36" customWidth="1"/>
    <col min="5646" max="5646" width="9.7109375" style="36" customWidth="1"/>
    <col min="5647" max="5647" width="54.5703125" style="36" customWidth="1"/>
    <col min="5648" max="5648" width="29.28515625" style="36" bestFit="1" customWidth="1"/>
    <col min="5649" max="5649" width="11.5703125" style="36" customWidth="1"/>
    <col min="5650" max="5650" width="13.42578125" style="36" customWidth="1"/>
    <col min="5651" max="5658" width="6.7109375" style="36" customWidth="1"/>
    <col min="5659" max="5888" width="8.7109375" style="36"/>
    <col min="5889" max="5889" width="49.140625" style="36" customWidth="1"/>
    <col min="5890" max="5890" width="16.42578125" style="36" customWidth="1"/>
    <col min="5891" max="5891" width="8.7109375" style="36"/>
    <col min="5892" max="5892" width="11.42578125" style="36" customWidth="1"/>
    <col min="5893" max="5893" width="9.42578125" style="36" customWidth="1"/>
    <col min="5894" max="5894" width="9.7109375" style="36" bestFit="1" customWidth="1"/>
    <col min="5895" max="5895" width="8.7109375" style="36"/>
    <col min="5896" max="5896" width="25" style="36" customWidth="1"/>
    <col min="5897" max="5897" width="12.85546875" style="36" customWidth="1"/>
    <col min="5898" max="5898" width="8.7109375" style="36"/>
    <col min="5899" max="5899" width="15.7109375" style="36" customWidth="1"/>
    <col min="5900" max="5900" width="11.28515625" style="36" bestFit="1" customWidth="1"/>
    <col min="5901" max="5901" width="12.140625" style="36" customWidth="1"/>
    <col min="5902" max="5902" width="9.7109375" style="36" customWidth="1"/>
    <col min="5903" max="5903" width="54.5703125" style="36" customWidth="1"/>
    <col min="5904" max="5904" width="29.28515625" style="36" bestFit="1" customWidth="1"/>
    <col min="5905" max="5905" width="11.5703125" style="36" customWidth="1"/>
    <col min="5906" max="5906" width="13.42578125" style="36" customWidth="1"/>
    <col min="5907" max="5914" width="6.7109375" style="36" customWidth="1"/>
    <col min="5915" max="6144" width="8.7109375" style="36"/>
    <col min="6145" max="6145" width="49.140625" style="36" customWidth="1"/>
    <col min="6146" max="6146" width="16.42578125" style="36" customWidth="1"/>
    <col min="6147" max="6147" width="8.7109375" style="36"/>
    <col min="6148" max="6148" width="11.42578125" style="36" customWidth="1"/>
    <col min="6149" max="6149" width="9.42578125" style="36" customWidth="1"/>
    <col min="6150" max="6150" width="9.7109375" style="36" bestFit="1" customWidth="1"/>
    <col min="6151" max="6151" width="8.7109375" style="36"/>
    <col min="6152" max="6152" width="25" style="36" customWidth="1"/>
    <col min="6153" max="6153" width="12.85546875" style="36" customWidth="1"/>
    <col min="6154" max="6154" width="8.7109375" style="36"/>
    <col min="6155" max="6155" width="15.7109375" style="36" customWidth="1"/>
    <col min="6156" max="6156" width="11.28515625" style="36" bestFit="1" customWidth="1"/>
    <col min="6157" max="6157" width="12.140625" style="36" customWidth="1"/>
    <col min="6158" max="6158" width="9.7109375" style="36" customWidth="1"/>
    <col min="6159" max="6159" width="54.5703125" style="36" customWidth="1"/>
    <col min="6160" max="6160" width="29.28515625" style="36" bestFit="1" customWidth="1"/>
    <col min="6161" max="6161" width="11.5703125" style="36" customWidth="1"/>
    <col min="6162" max="6162" width="13.42578125" style="36" customWidth="1"/>
    <col min="6163" max="6170" width="6.7109375" style="36" customWidth="1"/>
    <col min="6171" max="6400" width="8.7109375" style="36"/>
    <col min="6401" max="6401" width="49.140625" style="36" customWidth="1"/>
    <col min="6402" max="6402" width="16.42578125" style="36" customWidth="1"/>
    <col min="6403" max="6403" width="8.7109375" style="36"/>
    <col min="6404" max="6404" width="11.42578125" style="36" customWidth="1"/>
    <col min="6405" max="6405" width="9.42578125" style="36" customWidth="1"/>
    <col min="6406" max="6406" width="9.7109375" style="36" bestFit="1" customWidth="1"/>
    <col min="6407" max="6407" width="8.7109375" style="36"/>
    <col min="6408" max="6408" width="25" style="36" customWidth="1"/>
    <col min="6409" max="6409" width="12.85546875" style="36" customWidth="1"/>
    <col min="6410" max="6410" width="8.7109375" style="36"/>
    <col min="6411" max="6411" width="15.7109375" style="36" customWidth="1"/>
    <col min="6412" max="6412" width="11.28515625" style="36" bestFit="1" customWidth="1"/>
    <col min="6413" max="6413" width="12.140625" style="36" customWidth="1"/>
    <col min="6414" max="6414" width="9.7109375" style="36" customWidth="1"/>
    <col min="6415" max="6415" width="54.5703125" style="36" customWidth="1"/>
    <col min="6416" max="6416" width="29.28515625" style="36" bestFit="1" customWidth="1"/>
    <col min="6417" max="6417" width="11.5703125" style="36" customWidth="1"/>
    <col min="6418" max="6418" width="13.42578125" style="36" customWidth="1"/>
    <col min="6419" max="6426" width="6.7109375" style="36" customWidth="1"/>
    <col min="6427" max="6656" width="8.7109375" style="36"/>
    <col min="6657" max="6657" width="49.140625" style="36" customWidth="1"/>
    <col min="6658" max="6658" width="16.42578125" style="36" customWidth="1"/>
    <col min="6659" max="6659" width="8.7109375" style="36"/>
    <col min="6660" max="6660" width="11.42578125" style="36" customWidth="1"/>
    <col min="6661" max="6661" width="9.42578125" style="36" customWidth="1"/>
    <col min="6662" max="6662" width="9.7109375" style="36" bestFit="1" customWidth="1"/>
    <col min="6663" max="6663" width="8.7109375" style="36"/>
    <col min="6664" max="6664" width="25" style="36" customWidth="1"/>
    <col min="6665" max="6665" width="12.85546875" style="36" customWidth="1"/>
    <col min="6666" max="6666" width="8.7109375" style="36"/>
    <col min="6667" max="6667" width="15.7109375" style="36" customWidth="1"/>
    <col min="6668" max="6668" width="11.28515625" style="36" bestFit="1" customWidth="1"/>
    <col min="6669" max="6669" width="12.140625" style="36" customWidth="1"/>
    <col min="6670" max="6670" width="9.7109375" style="36" customWidth="1"/>
    <col min="6671" max="6671" width="54.5703125" style="36" customWidth="1"/>
    <col min="6672" max="6672" width="29.28515625" style="36" bestFit="1" customWidth="1"/>
    <col min="6673" max="6673" width="11.5703125" style="36" customWidth="1"/>
    <col min="6674" max="6674" width="13.42578125" style="36" customWidth="1"/>
    <col min="6675" max="6682" width="6.7109375" style="36" customWidth="1"/>
    <col min="6683" max="6912" width="8.7109375" style="36"/>
    <col min="6913" max="6913" width="49.140625" style="36" customWidth="1"/>
    <col min="6914" max="6914" width="16.42578125" style="36" customWidth="1"/>
    <col min="6915" max="6915" width="8.7109375" style="36"/>
    <col min="6916" max="6916" width="11.42578125" style="36" customWidth="1"/>
    <col min="6917" max="6917" width="9.42578125" style="36" customWidth="1"/>
    <col min="6918" max="6918" width="9.7109375" style="36" bestFit="1" customWidth="1"/>
    <col min="6919" max="6919" width="8.7109375" style="36"/>
    <col min="6920" max="6920" width="25" style="36" customWidth="1"/>
    <col min="6921" max="6921" width="12.85546875" style="36" customWidth="1"/>
    <col min="6922" max="6922" width="8.7109375" style="36"/>
    <col min="6923" max="6923" width="15.7109375" style="36" customWidth="1"/>
    <col min="6924" max="6924" width="11.28515625" style="36" bestFit="1" customWidth="1"/>
    <col min="6925" max="6925" width="12.140625" style="36" customWidth="1"/>
    <col min="6926" max="6926" width="9.7109375" style="36" customWidth="1"/>
    <col min="6927" max="6927" width="54.5703125" style="36" customWidth="1"/>
    <col min="6928" max="6928" width="29.28515625" style="36" bestFit="1" customWidth="1"/>
    <col min="6929" max="6929" width="11.5703125" style="36" customWidth="1"/>
    <col min="6930" max="6930" width="13.42578125" style="36" customWidth="1"/>
    <col min="6931" max="6938" width="6.7109375" style="36" customWidth="1"/>
    <col min="6939" max="7168" width="8.7109375" style="36"/>
    <col min="7169" max="7169" width="49.140625" style="36" customWidth="1"/>
    <col min="7170" max="7170" width="16.42578125" style="36" customWidth="1"/>
    <col min="7171" max="7171" width="8.7109375" style="36"/>
    <col min="7172" max="7172" width="11.42578125" style="36" customWidth="1"/>
    <col min="7173" max="7173" width="9.42578125" style="36" customWidth="1"/>
    <col min="7174" max="7174" width="9.7109375" style="36" bestFit="1" customWidth="1"/>
    <col min="7175" max="7175" width="8.7109375" style="36"/>
    <col min="7176" max="7176" width="25" style="36" customWidth="1"/>
    <col min="7177" max="7177" width="12.85546875" style="36" customWidth="1"/>
    <col min="7178" max="7178" width="8.7109375" style="36"/>
    <col min="7179" max="7179" width="15.7109375" style="36" customWidth="1"/>
    <col min="7180" max="7180" width="11.28515625" style="36" bestFit="1" customWidth="1"/>
    <col min="7181" max="7181" width="12.140625" style="36" customWidth="1"/>
    <col min="7182" max="7182" width="9.7109375" style="36" customWidth="1"/>
    <col min="7183" max="7183" width="54.5703125" style="36" customWidth="1"/>
    <col min="7184" max="7184" width="29.28515625" style="36" bestFit="1" customWidth="1"/>
    <col min="7185" max="7185" width="11.5703125" style="36" customWidth="1"/>
    <col min="7186" max="7186" width="13.42578125" style="36" customWidth="1"/>
    <col min="7187" max="7194" width="6.7109375" style="36" customWidth="1"/>
    <col min="7195" max="7424" width="8.7109375" style="36"/>
    <col min="7425" max="7425" width="49.140625" style="36" customWidth="1"/>
    <col min="7426" max="7426" width="16.42578125" style="36" customWidth="1"/>
    <col min="7427" max="7427" width="8.7109375" style="36"/>
    <col min="7428" max="7428" width="11.42578125" style="36" customWidth="1"/>
    <col min="7429" max="7429" width="9.42578125" style="36" customWidth="1"/>
    <col min="7430" max="7430" width="9.7109375" style="36" bestFit="1" customWidth="1"/>
    <col min="7431" max="7431" width="8.7109375" style="36"/>
    <col min="7432" max="7432" width="25" style="36" customWidth="1"/>
    <col min="7433" max="7433" width="12.85546875" style="36" customWidth="1"/>
    <col min="7434" max="7434" width="8.7109375" style="36"/>
    <col min="7435" max="7435" width="15.7109375" style="36" customWidth="1"/>
    <col min="7436" max="7436" width="11.28515625" style="36" bestFit="1" customWidth="1"/>
    <col min="7437" max="7437" width="12.140625" style="36" customWidth="1"/>
    <col min="7438" max="7438" width="9.7109375" style="36" customWidth="1"/>
    <col min="7439" max="7439" width="54.5703125" style="36" customWidth="1"/>
    <col min="7440" max="7440" width="29.28515625" style="36" bestFit="1" customWidth="1"/>
    <col min="7441" max="7441" width="11.5703125" style="36" customWidth="1"/>
    <col min="7442" max="7442" width="13.42578125" style="36" customWidth="1"/>
    <col min="7443" max="7450" width="6.7109375" style="36" customWidth="1"/>
    <col min="7451" max="7680" width="8.7109375" style="36"/>
    <col min="7681" max="7681" width="49.140625" style="36" customWidth="1"/>
    <col min="7682" max="7682" width="16.42578125" style="36" customWidth="1"/>
    <col min="7683" max="7683" width="8.7109375" style="36"/>
    <col min="7684" max="7684" width="11.42578125" style="36" customWidth="1"/>
    <col min="7685" max="7685" width="9.42578125" style="36" customWidth="1"/>
    <col min="7686" max="7686" width="9.7109375" style="36" bestFit="1" customWidth="1"/>
    <col min="7687" max="7687" width="8.7109375" style="36"/>
    <col min="7688" max="7688" width="25" style="36" customWidth="1"/>
    <col min="7689" max="7689" width="12.85546875" style="36" customWidth="1"/>
    <col min="7690" max="7690" width="8.7109375" style="36"/>
    <col min="7691" max="7691" width="15.7109375" style="36" customWidth="1"/>
    <col min="7692" max="7692" width="11.28515625" style="36" bestFit="1" customWidth="1"/>
    <col min="7693" max="7693" width="12.140625" style="36" customWidth="1"/>
    <col min="7694" max="7694" width="9.7109375" style="36" customWidth="1"/>
    <col min="7695" max="7695" width="54.5703125" style="36" customWidth="1"/>
    <col min="7696" max="7696" width="29.28515625" style="36" bestFit="1" customWidth="1"/>
    <col min="7697" max="7697" width="11.5703125" style="36" customWidth="1"/>
    <col min="7698" max="7698" width="13.42578125" style="36" customWidth="1"/>
    <col min="7699" max="7706" width="6.7109375" style="36" customWidth="1"/>
    <col min="7707" max="7936" width="8.7109375" style="36"/>
    <col min="7937" max="7937" width="49.140625" style="36" customWidth="1"/>
    <col min="7938" max="7938" width="16.42578125" style="36" customWidth="1"/>
    <col min="7939" max="7939" width="8.7109375" style="36"/>
    <col min="7940" max="7940" width="11.42578125" style="36" customWidth="1"/>
    <col min="7941" max="7941" width="9.42578125" style="36" customWidth="1"/>
    <col min="7942" max="7942" width="9.7109375" style="36" bestFit="1" customWidth="1"/>
    <col min="7943" max="7943" width="8.7109375" style="36"/>
    <col min="7944" max="7944" width="25" style="36" customWidth="1"/>
    <col min="7945" max="7945" width="12.85546875" style="36" customWidth="1"/>
    <col min="7946" max="7946" width="8.7109375" style="36"/>
    <col min="7947" max="7947" width="15.7109375" style="36" customWidth="1"/>
    <col min="7948" max="7948" width="11.28515625" style="36" bestFit="1" customWidth="1"/>
    <col min="7949" max="7949" width="12.140625" style="36" customWidth="1"/>
    <col min="7950" max="7950" width="9.7109375" style="36" customWidth="1"/>
    <col min="7951" max="7951" width="54.5703125" style="36" customWidth="1"/>
    <col min="7952" max="7952" width="29.28515625" style="36" bestFit="1" customWidth="1"/>
    <col min="7953" max="7953" width="11.5703125" style="36" customWidth="1"/>
    <col min="7954" max="7954" width="13.42578125" style="36" customWidth="1"/>
    <col min="7955" max="7962" width="6.7109375" style="36" customWidth="1"/>
    <col min="7963" max="8192" width="8.7109375" style="36"/>
    <col min="8193" max="8193" width="49.140625" style="36" customWidth="1"/>
    <col min="8194" max="8194" width="16.42578125" style="36" customWidth="1"/>
    <col min="8195" max="8195" width="8.7109375" style="36"/>
    <col min="8196" max="8196" width="11.42578125" style="36" customWidth="1"/>
    <col min="8197" max="8197" width="9.42578125" style="36" customWidth="1"/>
    <col min="8198" max="8198" width="9.7109375" style="36" bestFit="1" customWidth="1"/>
    <col min="8199" max="8199" width="8.7109375" style="36"/>
    <col min="8200" max="8200" width="25" style="36" customWidth="1"/>
    <col min="8201" max="8201" width="12.85546875" style="36" customWidth="1"/>
    <col min="8202" max="8202" width="8.7109375" style="36"/>
    <col min="8203" max="8203" width="15.7109375" style="36" customWidth="1"/>
    <col min="8204" max="8204" width="11.28515625" style="36" bestFit="1" customWidth="1"/>
    <col min="8205" max="8205" width="12.140625" style="36" customWidth="1"/>
    <col min="8206" max="8206" width="9.7109375" style="36" customWidth="1"/>
    <col min="8207" max="8207" width="54.5703125" style="36" customWidth="1"/>
    <col min="8208" max="8208" width="29.28515625" style="36" bestFit="1" customWidth="1"/>
    <col min="8209" max="8209" width="11.5703125" style="36" customWidth="1"/>
    <col min="8210" max="8210" width="13.42578125" style="36" customWidth="1"/>
    <col min="8211" max="8218" width="6.7109375" style="36" customWidth="1"/>
    <col min="8219" max="8448" width="8.7109375" style="36"/>
    <col min="8449" max="8449" width="49.140625" style="36" customWidth="1"/>
    <col min="8450" max="8450" width="16.42578125" style="36" customWidth="1"/>
    <col min="8451" max="8451" width="8.7109375" style="36"/>
    <col min="8452" max="8452" width="11.42578125" style="36" customWidth="1"/>
    <col min="8453" max="8453" width="9.42578125" style="36" customWidth="1"/>
    <col min="8454" max="8454" width="9.7109375" style="36" bestFit="1" customWidth="1"/>
    <col min="8455" max="8455" width="8.7109375" style="36"/>
    <col min="8456" max="8456" width="25" style="36" customWidth="1"/>
    <col min="8457" max="8457" width="12.85546875" style="36" customWidth="1"/>
    <col min="8458" max="8458" width="8.7109375" style="36"/>
    <col min="8459" max="8459" width="15.7109375" style="36" customWidth="1"/>
    <col min="8460" max="8460" width="11.28515625" style="36" bestFit="1" customWidth="1"/>
    <col min="8461" max="8461" width="12.140625" style="36" customWidth="1"/>
    <col min="8462" max="8462" width="9.7109375" style="36" customWidth="1"/>
    <col min="8463" max="8463" width="54.5703125" style="36" customWidth="1"/>
    <col min="8464" max="8464" width="29.28515625" style="36" bestFit="1" customWidth="1"/>
    <col min="8465" max="8465" width="11.5703125" style="36" customWidth="1"/>
    <col min="8466" max="8466" width="13.42578125" style="36" customWidth="1"/>
    <col min="8467" max="8474" width="6.7109375" style="36" customWidth="1"/>
    <col min="8475" max="8704" width="8.7109375" style="36"/>
    <col min="8705" max="8705" width="49.140625" style="36" customWidth="1"/>
    <col min="8706" max="8706" width="16.42578125" style="36" customWidth="1"/>
    <col min="8707" max="8707" width="8.7109375" style="36"/>
    <col min="8708" max="8708" width="11.42578125" style="36" customWidth="1"/>
    <col min="8709" max="8709" width="9.42578125" style="36" customWidth="1"/>
    <col min="8710" max="8710" width="9.7109375" style="36" bestFit="1" customWidth="1"/>
    <col min="8711" max="8711" width="8.7109375" style="36"/>
    <col min="8712" max="8712" width="25" style="36" customWidth="1"/>
    <col min="8713" max="8713" width="12.85546875" style="36" customWidth="1"/>
    <col min="8714" max="8714" width="8.7109375" style="36"/>
    <col min="8715" max="8715" width="15.7109375" style="36" customWidth="1"/>
    <col min="8716" max="8716" width="11.28515625" style="36" bestFit="1" customWidth="1"/>
    <col min="8717" max="8717" width="12.140625" style="36" customWidth="1"/>
    <col min="8718" max="8718" width="9.7109375" style="36" customWidth="1"/>
    <col min="8719" max="8719" width="54.5703125" style="36" customWidth="1"/>
    <col min="8720" max="8720" width="29.28515625" style="36" bestFit="1" customWidth="1"/>
    <col min="8721" max="8721" width="11.5703125" style="36" customWidth="1"/>
    <col min="8722" max="8722" width="13.42578125" style="36" customWidth="1"/>
    <col min="8723" max="8730" width="6.7109375" style="36" customWidth="1"/>
    <col min="8731" max="8960" width="8.7109375" style="36"/>
    <col min="8961" max="8961" width="49.140625" style="36" customWidth="1"/>
    <col min="8962" max="8962" width="16.42578125" style="36" customWidth="1"/>
    <col min="8963" max="8963" width="8.7109375" style="36"/>
    <col min="8964" max="8964" width="11.42578125" style="36" customWidth="1"/>
    <col min="8965" max="8965" width="9.42578125" style="36" customWidth="1"/>
    <col min="8966" max="8966" width="9.7109375" style="36" bestFit="1" customWidth="1"/>
    <col min="8967" max="8967" width="8.7109375" style="36"/>
    <col min="8968" max="8968" width="25" style="36" customWidth="1"/>
    <col min="8969" max="8969" width="12.85546875" style="36" customWidth="1"/>
    <col min="8970" max="8970" width="8.7109375" style="36"/>
    <col min="8971" max="8971" width="15.7109375" style="36" customWidth="1"/>
    <col min="8972" max="8972" width="11.28515625" style="36" bestFit="1" customWidth="1"/>
    <col min="8973" max="8973" width="12.140625" style="36" customWidth="1"/>
    <col min="8974" max="8974" width="9.7109375" style="36" customWidth="1"/>
    <col min="8975" max="8975" width="54.5703125" style="36" customWidth="1"/>
    <col min="8976" max="8976" width="29.28515625" style="36" bestFit="1" customWidth="1"/>
    <col min="8977" max="8977" width="11.5703125" style="36" customWidth="1"/>
    <col min="8978" max="8978" width="13.42578125" style="36" customWidth="1"/>
    <col min="8979" max="8986" width="6.7109375" style="36" customWidth="1"/>
    <col min="8987" max="9216" width="8.7109375" style="36"/>
    <col min="9217" max="9217" width="49.140625" style="36" customWidth="1"/>
    <col min="9218" max="9218" width="16.42578125" style="36" customWidth="1"/>
    <col min="9219" max="9219" width="8.7109375" style="36"/>
    <col min="9220" max="9220" width="11.42578125" style="36" customWidth="1"/>
    <col min="9221" max="9221" width="9.42578125" style="36" customWidth="1"/>
    <col min="9222" max="9222" width="9.7109375" style="36" bestFit="1" customWidth="1"/>
    <col min="9223" max="9223" width="8.7109375" style="36"/>
    <col min="9224" max="9224" width="25" style="36" customWidth="1"/>
    <col min="9225" max="9225" width="12.85546875" style="36" customWidth="1"/>
    <col min="9226" max="9226" width="8.7109375" style="36"/>
    <col min="9227" max="9227" width="15.7109375" style="36" customWidth="1"/>
    <col min="9228" max="9228" width="11.28515625" style="36" bestFit="1" customWidth="1"/>
    <col min="9229" max="9229" width="12.140625" style="36" customWidth="1"/>
    <col min="9230" max="9230" width="9.7109375" style="36" customWidth="1"/>
    <col min="9231" max="9231" width="54.5703125" style="36" customWidth="1"/>
    <col min="9232" max="9232" width="29.28515625" style="36" bestFit="1" customWidth="1"/>
    <col min="9233" max="9233" width="11.5703125" style="36" customWidth="1"/>
    <col min="9234" max="9234" width="13.42578125" style="36" customWidth="1"/>
    <col min="9235" max="9242" width="6.7109375" style="36" customWidth="1"/>
    <col min="9243" max="9472" width="8.7109375" style="36"/>
    <col min="9473" max="9473" width="49.140625" style="36" customWidth="1"/>
    <col min="9474" max="9474" width="16.42578125" style="36" customWidth="1"/>
    <col min="9475" max="9475" width="8.7109375" style="36"/>
    <col min="9476" max="9476" width="11.42578125" style="36" customWidth="1"/>
    <col min="9477" max="9477" width="9.42578125" style="36" customWidth="1"/>
    <col min="9478" max="9478" width="9.7109375" style="36" bestFit="1" customWidth="1"/>
    <col min="9479" max="9479" width="8.7109375" style="36"/>
    <col min="9480" max="9480" width="25" style="36" customWidth="1"/>
    <col min="9481" max="9481" width="12.85546875" style="36" customWidth="1"/>
    <col min="9482" max="9482" width="8.7109375" style="36"/>
    <col min="9483" max="9483" width="15.7109375" style="36" customWidth="1"/>
    <col min="9484" max="9484" width="11.28515625" style="36" bestFit="1" customWidth="1"/>
    <col min="9485" max="9485" width="12.140625" style="36" customWidth="1"/>
    <col min="9486" max="9486" width="9.7109375" style="36" customWidth="1"/>
    <col min="9487" max="9487" width="54.5703125" style="36" customWidth="1"/>
    <col min="9488" max="9488" width="29.28515625" style="36" bestFit="1" customWidth="1"/>
    <col min="9489" max="9489" width="11.5703125" style="36" customWidth="1"/>
    <col min="9490" max="9490" width="13.42578125" style="36" customWidth="1"/>
    <col min="9491" max="9498" width="6.7109375" style="36" customWidth="1"/>
    <col min="9499" max="9728" width="8.7109375" style="36"/>
    <col min="9729" max="9729" width="49.140625" style="36" customWidth="1"/>
    <col min="9730" max="9730" width="16.42578125" style="36" customWidth="1"/>
    <col min="9731" max="9731" width="8.7109375" style="36"/>
    <col min="9732" max="9732" width="11.42578125" style="36" customWidth="1"/>
    <col min="9733" max="9733" width="9.42578125" style="36" customWidth="1"/>
    <col min="9734" max="9734" width="9.7109375" style="36" bestFit="1" customWidth="1"/>
    <col min="9735" max="9735" width="8.7109375" style="36"/>
    <col min="9736" max="9736" width="25" style="36" customWidth="1"/>
    <col min="9737" max="9737" width="12.85546875" style="36" customWidth="1"/>
    <col min="9738" max="9738" width="8.7109375" style="36"/>
    <col min="9739" max="9739" width="15.7109375" style="36" customWidth="1"/>
    <col min="9740" max="9740" width="11.28515625" style="36" bestFit="1" customWidth="1"/>
    <col min="9741" max="9741" width="12.140625" style="36" customWidth="1"/>
    <col min="9742" max="9742" width="9.7109375" style="36" customWidth="1"/>
    <col min="9743" max="9743" width="54.5703125" style="36" customWidth="1"/>
    <col min="9744" max="9744" width="29.28515625" style="36" bestFit="1" customWidth="1"/>
    <col min="9745" max="9745" width="11.5703125" style="36" customWidth="1"/>
    <col min="9746" max="9746" width="13.42578125" style="36" customWidth="1"/>
    <col min="9747" max="9754" width="6.7109375" style="36" customWidth="1"/>
    <col min="9755" max="9984" width="8.7109375" style="36"/>
    <col min="9985" max="9985" width="49.140625" style="36" customWidth="1"/>
    <col min="9986" max="9986" width="16.42578125" style="36" customWidth="1"/>
    <col min="9987" max="9987" width="8.7109375" style="36"/>
    <col min="9988" max="9988" width="11.42578125" style="36" customWidth="1"/>
    <col min="9989" max="9989" width="9.42578125" style="36" customWidth="1"/>
    <col min="9990" max="9990" width="9.7109375" style="36" bestFit="1" customWidth="1"/>
    <col min="9991" max="9991" width="8.7109375" style="36"/>
    <col min="9992" max="9992" width="25" style="36" customWidth="1"/>
    <col min="9993" max="9993" width="12.85546875" style="36" customWidth="1"/>
    <col min="9994" max="9994" width="8.7109375" style="36"/>
    <col min="9995" max="9995" width="15.7109375" style="36" customWidth="1"/>
    <col min="9996" max="9996" width="11.28515625" style="36" bestFit="1" customWidth="1"/>
    <col min="9997" max="9997" width="12.140625" style="36" customWidth="1"/>
    <col min="9998" max="9998" width="9.7109375" style="36" customWidth="1"/>
    <col min="9999" max="9999" width="54.5703125" style="36" customWidth="1"/>
    <col min="10000" max="10000" width="29.28515625" style="36" bestFit="1" customWidth="1"/>
    <col min="10001" max="10001" width="11.5703125" style="36" customWidth="1"/>
    <col min="10002" max="10002" width="13.42578125" style="36" customWidth="1"/>
    <col min="10003" max="10010" width="6.7109375" style="36" customWidth="1"/>
    <col min="10011" max="10240" width="8.7109375" style="36"/>
    <col min="10241" max="10241" width="49.140625" style="36" customWidth="1"/>
    <col min="10242" max="10242" width="16.42578125" style="36" customWidth="1"/>
    <col min="10243" max="10243" width="8.7109375" style="36"/>
    <col min="10244" max="10244" width="11.42578125" style="36" customWidth="1"/>
    <col min="10245" max="10245" width="9.42578125" style="36" customWidth="1"/>
    <col min="10246" max="10246" width="9.7109375" style="36" bestFit="1" customWidth="1"/>
    <col min="10247" max="10247" width="8.7109375" style="36"/>
    <col min="10248" max="10248" width="25" style="36" customWidth="1"/>
    <col min="10249" max="10249" width="12.85546875" style="36" customWidth="1"/>
    <col min="10250" max="10250" width="8.7109375" style="36"/>
    <col min="10251" max="10251" width="15.7109375" style="36" customWidth="1"/>
    <col min="10252" max="10252" width="11.28515625" style="36" bestFit="1" customWidth="1"/>
    <col min="10253" max="10253" width="12.140625" style="36" customWidth="1"/>
    <col min="10254" max="10254" width="9.7109375" style="36" customWidth="1"/>
    <col min="10255" max="10255" width="54.5703125" style="36" customWidth="1"/>
    <col min="10256" max="10256" width="29.28515625" style="36" bestFit="1" customWidth="1"/>
    <col min="10257" max="10257" width="11.5703125" style="36" customWidth="1"/>
    <col min="10258" max="10258" width="13.42578125" style="36" customWidth="1"/>
    <col min="10259" max="10266" width="6.7109375" style="36" customWidth="1"/>
    <col min="10267" max="10496" width="8.7109375" style="36"/>
    <col min="10497" max="10497" width="49.140625" style="36" customWidth="1"/>
    <col min="10498" max="10498" width="16.42578125" style="36" customWidth="1"/>
    <col min="10499" max="10499" width="8.7109375" style="36"/>
    <col min="10500" max="10500" width="11.42578125" style="36" customWidth="1"/>
    <col min="10501" max="10501" width="9.42578125" style="36" customWidth="1"/>
    <col min="10502" max="10502" width="9.7109375" style="36" bestFit="1" customWidth="1"/>
    <col min="10503" max="10503" width="8.7109375" style="36"/>
    <col min="10504" max="10504" width="25" style="36" customWidth="1"/>
    <col min="10505" max="10505" width="12.85546875" style="36" customWidth="1"/>
    <col min="10506" max="10506" width="8.7109375" style="36"/>
    <col min="10507" max="10507" width="15.7109375" style="36" customWidth="1"/>
    <col min="10508" max="10508" width="11.28515625" style="36" bestFit="1" customWidth="1"/>
    <col min="10509" max="10509" width="12.140625" style="36" customWidth="1"/>
    <col min="10510" max="10510" width="9.7109375" style="36" customWidth="1"/>
    <col min="10511" max="10511" width="54.5703125" style="36" customWidth="1"/>
    <col min="10512" max="10512" width="29.28515625" style="36" bestFit="1" customWidth="1"/>
    <col min="10513" max="10513" width="11.5703125" style="36" customWidth="1"/>
    <col min="10514" max="10514" width="13.42578125" style="36" customWidth="1"/>
    <col min="10515" max="10522" width="6.7109375" style="36" customWidth="1"/>
    <col min="10523" max="10752" width="8.7109375" style="36"/>
    <col min="10753" max="10753" width="49.140625" style="36" customWidth="1"/>
    <col min="10754" max="10754" width="16.42578125" style="36" customWidth="1"/>
    <col min="10755" max="10755" width="8.7109375" style="36"/>
    <col min="10756" max="10756" width="11.42578125" style="36" customWidth="1"/>
    <col min="10757" max="10757" width="9.42578125" style="36" customWidth="1"/>
    <col min="10758" max="10758" width="9.7109375" style="36" bestFit="1" customWidth="1"/>
    <col min="10759" max="10759" width="8.7109375" style="36"/>
    <col min="10760" max="10760" width="25" style="36" customWidth="1"/>
    <col min="10761" max="10761" width="12.85546875" style="36" customWidth="1"/>
    <col min="10762" max="10762" width="8.7109375" style="36"/>
    <col min="10763" max="10763" width="15.7109375" style="36" customWidth="1"/>
    <col min="10764" max="10764" width="11.28515625" style="36" bestFit="1" customWidth="1"/>
    <col min="10765" max="10765" width="12.140625" style="36" customWidth="1"/>
    <col min="10766" max="10766" width="9.7109375" style="36" customWidth="1"/>
    <col min="10767" max="10767" width="54.5703125" style="36" customWidth="1"/>
    <col min="10768" max="10768" width="29.28515625" style="36" bestFit="1" customWidth="1"/>
    <col min="10769" max="10769" width="11.5703125" style="36" customWidth="1"/>
    <col min="10770" max="10770" width="13.42578125" style="36" customWidth="1"/>
    <col min="10771" max="10778" width="6.7109375" style="36" customWidth="1"/>
    <col min="10779" max="11008" width="8.7109375" style="36"/>
    <col min="11009" max="11009" width="49.140625" style="36" customWidth="1"/>
    <col min="11010" max="11010" width="16.42578125" style="36" customWidth="1"/>
    <col min="11011" max="11011" width="8.7109375" style="36"/>
    <col min="11012" max="11012" width="11.42578125" style="36" customWidth="1"/>
    <col min="11013" max="11013" width="9.42578125" style="36" customWidth="1"/>
    <col min="11014" max="11014" width="9.7109375" style="36" bestFit="1" customWidth="1"/>
    <col min="11015" max="11015" width="8.7109375" style="36"/>
    <col min="11016" max="11016" width="25" style="36" customWidth="1"/>
    <col min="11017" max="11017" width="12.85546875" style="36" customWidth="1"/>
    <col min="11018" max="11018" width="8.7109375" style="36"/>
    <col min="11019" max="11019" width="15.7109375" style="36" customWidth="1"/>
    <col min="11020" max="11020" width="11.28515625" style="36" bestFit="1" customWidth="1"/>
    <col min="11021" max="11021" width="12.140625" style="36" customWidth="1"/>
    <col min="11022" max="11022" width="9.7109375" style="36" customWidth="1"/>
    <col min="11023" max="11023" width="54.5703125" style="36" customWidth="1"/>
    <col min="11024" max="11024" width="29.28515625" style="36" bestFit="1" customWidth="1"/>
    <col min="11025" max="11025" width="11.5703125" style="36" customWidth="1"/>
    <col min="11026" max="11026" width="13.42578125" style="36" customWidth="1"/>
    <col min="11027" max="11034" width="6.7109375" style="36" customWidth="1"/>
    <col min="11035" max="11264" width="8.7109375" style="36"/>
    <col min="11265" max="11265" width="49.140625" style="36" customWidth="1"/>
    <col min="11266" max="11266" width="16.42578125" style="36" customWidth="1"/>
    <col min="11267" max="11267" width="8.7109375" style="36"/>
    <col min="11268" max="11268" width="11.42578125" style="36" customWidth="1"/>
    <col min="11269" max="11269" width="9.42578125" style="36" customWidth="1"/>
    <col min="11270" max="11270" width="9.7109375" style="36" bestFit="1" customWidth="1"/>
    <col min="11271" max="11271" width="8.7109375" style="36"/>
    <col min="11272" max="11272" width="25" style="36" customWidth="1"/>
    <col min="11273" max="11273" width="12.85546875" style="36" customWidth="1"/>
    <col min="11274" max="11274" width="8.7109375" style="36"/>
    <col min="11275" max="11275" width="15.7109375" style="36" customWidth="1"/>
    <col min="11276" max="11276" width="11.28515625" style="36" bestFit="1" customWidth="1"/>
    <col min="11277" max="11277" width="12.140625" style="36" customWidth="1"/>
    <col min="11278" max="11278" width="9.7109375" style="36" customWidth="1"/>
    <col min="11279" max="11279" width="54.5703125" style="36" customWidth="1"/>
    <col min="11280" max="11280" width="29.28515625" style="36" bestFit="1" customWidth="1"/>
    <col min="11281" max="11281" width="11.5703125" style="36" customWidth="1"/>
    <col min="11282" max="11282" width="13.42578125" style="36" customWidth="1"/>
    <col min="11283" max="11290" width="6.7109375" style="36" customWidth="1"/>
    <col min="11291" max="11520" width="8.7109375" style="36"/>
    <col min="11521" max="11521" width="49.140625" style="36" customWidth="1"/>
    <col min="11522" max="11522" width="16.42578125" style="36" customWidth="1"/>
    <col min="11523" max="11523" width="8.7109375" style="36"/>
    <col min="11524" max="11524" width="11.42578125" style="36" customWidth="1"/>
    <col min="11525" max="11525" width="9.42578125" style="36" customWidth="1"/>
    <col min="11526" max="11526" width="9.7109375" style="36" bestFit="1" customWidth="1"/>
    <col min="11527" max="11527" width="8.7109375" style="36"/>
    <col min="11528" max="11528" width="25" style="36" customWidth="1"/>
    <col min="11529" max="11529" width="12.85546875" style="36" customWidth="1"/>
    <col min="11530" max="11530" width="8.7109375" style="36"/>
    <col min="11531" max="11531" width="15.7109375" style="36" customWidth="1"/>
    <col min="11532" max="11532" width="11.28515625" style="36" bestFit="1" customWidth="1"/>
    <col min="11533" max="11533" width="12.140625" style="36" customWidth="1"/>
    <col min="11534" max="11534" width="9.7109375" style="36" customWidth="1"/>
    <col min="11535" max="11535" width="54.5703125" style="36" customWidth="1"/>
    <col min="11536" max="11536" width="29.28515625" style="36" bestFit="1" customWidth="1"/>
    <col min="11537" max="11537" width="11.5703125" style="36" customWidth="1"/>
    <col min="11538" max="11538" width="13.42578125" style="36" customWidth="1"/>
    <col min="11539" max="11546" width="6.7109375" style="36" customWidth="1"/>
    <col min="11547" max="11776" width="8.7109375" style="36"/>
    <col min="11777" max="11777" width="49.140625" style="36" customWidth="1"/>
    <col min="11778" max="11778" width="16.42578125" style="36" customWidth="1"/>
    <col min="11779" max="11779" width="8.7109375" style="36"/>
    <col min="11780" max="11780" width="11.42578125" style="36" customWidth="1"/>
    <col min="11781" max="11781" width="9.42578125" style="36" customWidth="1"/>
    <col min="11782" max="11782" width="9.7109375" style="36" bestFit="1" customWidth="1"/>
    <col min="11783" max="11783" width="8.7109375" style="36"/>
    <col min="11784" max="11784" width="25" style="36" customWidth="1"/>
    <col min="11785" max="11785" width="12.85546875" style="36" customWidth="1"/>
    <col min="11786" max="11786" width="8.7109375" style="36"/>
    <col min="11787" max="11787" width="15.7109375" style="36" customWidth="1"/>
    <col min="11788" max="11788" width="11.28515625" style="36" bestFit="1" customWidth="1"/>
    <col min="11789" max="11789" width="12.140625" style="36" customWidth="1"/>
    <col min="11790" max="11790" width="9.7109375" style="36" customWidth="1"/>
    <col min="11791" max="11791" width="54.5703125" style="36" customWidth="1"/>
    <col min="11792" max="11792" width="29.28515625" style="36" bestFit="1" customWidth="1"/>
    <col min="11793" max="11793" width="11.5703125" style="36" customWidth="1"/>
    <col min="11794" max="11794" width="13.42578125" style="36" customWidth="1"/>
    <col min="11795" max="11802" width="6.7109375" style="36" customWidth="1"/>
    <col min="11803" max="12032" width="8.7109375" style="36"/>
    <col min="12033" max="12033" width="49.140625" style="36" customWidth="1"/>
    <col min="12034" max="12034" width="16.42578125" style="36" customWidth="1"/>
    <col min="12035" max="12035" width="8.7109375" style="36"/>
    <col min="12036" max="12036" width="11.42578125" style="36" customWidth="1"/>
    <col min="12037" max="12037" width="9.42578125" style="36" customWidth="1"/>
    <col min="12038" max="12038" width="9.7109375" style="36" bestFit="1" customWidth="1"/>
    <col min="12039" max="12039" width="8.7109375" style="36"/>
    <col min="12040" max="12040" width="25" style="36" customWidth="1"/>
    <col min="12041" max="12041" width="12.85546875" style="36" customWidth="1"/>
    <col min="12042" max="12042" width="8.7109375" style="36"/>
    <col min="12043" max="12043" width="15.7109375" style="36" customWidth="1"/>
    <col min="12044" max="12044" width="11.28515625" style="36" bestFit="1" customWidth="1"/>
    <col min="12045" max="12045" width="12.140625" style="36" customWidth="1"/>
    <col min="12046" max="12046" width="9.7109375" style="36" customWidth="1"/>
    <col min="12047" max="12047" width="54.5703125" style="36" customWidth="1"/>
    <col min="12048" max="12048" width="29.28515625" style="36" bestFit="1" customWidth="1"/>
    <col min="12049" max="12049" width="11.5703125" style="36" customWidth="1"/>
    <col min="12050" max="12050" width="13.42578125" style="36" customWidth="1"/>
    <col min="12051" max="12058" width="6.7109375" style="36" customWidth="1"/>
    <col min="12059" max="12288" width="8.7109375" style="36"/>
    <col min="12289" max="12289" width="49.140625" style="36" customWidth="1"/>
    <col min="12290" max="12290" width="16.42578125" style="36" customWidth="1"/>
    <col min="12291" max="12291" width="8.7109375" style="36"/>
    <col min="12292" max="12292" width="11.42578125" style="36" customWidth="1"/>
    <col min="12293" max="12293" width="9.42578125" style="36" customWidth="1"/>
    <col min="12294" max="12294" width="9.7109375" style="36" bestFit="1" customWidth="1"/>
    <col min="12295" max="12295" width="8.7109375" style="36"/>
    <col min="12296" max="12296" width="25" style="36" customWidth="1"/>
    <col min="12297" max="12297" width="12.85546875" style="36" customWidth="1"/>
    <col min="12298" max="12298" width="8.7109375" style="36"/>
    <col min="12299" max="12299" width="15.7109375" style="36" customWidth="1"/>
    <col min="12300" max="12300" width="11.28515625" style="36" bestFit="1" customWidth="1"/>
    <col min="12301" max="12301" width="12.140625" style="36" customWidth="1"/>
    <col min="12302" max="12302" width="9.7109375" style="36" customWidth="1"/>
    <col min="12303" max="12303" width="54.5703125" style="36" customWidth="1"/>
    <col min="12304" max="12304" width="29.28515625" style="36" bestFit="1" customWidth="1"/>
    <col min="12305" max="12305" width="11.5703125" style="36" customWidth="1"/>
    <col min="12306" max="12306" width="13.42578125" style="36" customWidth="1"/>
    <col min="12307" max="12314" width="6.7109375" style="36" customWidth="1"/>
    <col min="12315" max="12544" width="8.7109375" style="36"/>
    <col min="12545" max="12545" width="49.140625" style="36" customWidth="1"/>
    <col min="12546" max="12546" width="16.42578125" style="36" customWidth="1"/>
    <col min="12547" max="12547" width="8.7109375" style="36"/>
    <col min="12548" max="12548" width="11.42578125" style="36" customWidth="1"/>
    <col min="12549" max="12549" width="9.42578125" style="36" customWidth="1"/>
    <col min="12550" max="12550" width="9.7109375" style="36" bestFit="1" customWidth="1"/>
    <col min="12551" max="12551" width="8.7109375" style="36"/>
    <col min="12552" max="12552" width="25" style="36" customWidth="1"/>
    <col min="12553" max="12553" width="12.85546875" style="36" customWidth="1"/>
    <col min="12554" max="12554" width="8.7109375" style="36"/>
    <col min="12555" max="12555" width="15.7109375" style="36" customWidth="1"/>
    <col min="12556" max="12556" width="11.28515625" style="36" bestFit="1" customWidth="1"/>
    <col min="12557" max="12557" width="12.140625" style="36" customWidth="1"/>
    <col min="12558" max="12558" width="9.7109375" style="36" customWidth="1"/>
    <col min="12559" max="12559" width="54.5703125" style="36" customWidth="1"/>
    <col min="12560" max="12560" width="29.28515625" style="36" bestFit="1" customWidth="1"/>
    <col min="12561" max="12561" width="11.5703125" style="36" customWidth="1"/>
    <col min="12562" max="12562" width="13.42578125" style="36" customWidth="1"/>
    <col min="12563" max="12570" width="6.7109375" style="36" customWidth="1"/>
    <col min="12571" max="12800" width="8.7109375" style="36"/>
    <col min="12801" max="12801" width="49.140625" style="36" customWidth="1"/>
    <col min="12802" max="12802" width="16.42578125" style="36" customWidth="1"/>
    <col min="12803" max="12803" width="8.7109375" style="36"/>
    <col min="12804" max="12804" width="11.42578125" style="36" customWidth="1"/>
    <col min="12805" max="12805" width="9.42578125" style="36" customWidth="1"/>
    <col min="12806" max="12806" width="9.7109375" style="36" bestFit="1" customWidth="1"/>
    <col min="12807" max="12807" width="8.7109375" style="36"/>
    <col min="12808" max="12808" width="25" style="36" customWidth="1"/>
    <col min="12809" max="12809" width="12.85546875" style="36" customWidth="1"/>
    <col min="12810" max="12810" width="8.7109375" style="36"/>
    <col min="12811" max="12811" width="15.7109375" style="36" customWidth="1"/>
    <col min="12812" max="12812" width="11.28515625" style="36" bestFit="1" customWidth="1"/>
    <col min="12813" max="12813" width="12.140625" style="36" customWidth="1"/>
    <col min="12814" max="12814" width="9.7109375" style="36" customWidth="1"/>
    <col min="12815" max="12815" width="54.5703125" style="36" customWidth="1"/>
    <col min="12816" max="12816" width="29.28515625" style="36" bestFit="1" customWidth="1"/>
    <col min="12817" max="12817" width="11.5703125" style="36" customWidth="1"/>
    <col min="12818" max="12818" width="13.42578125" style="36" customWidth="1"/>
    <col min="12819" max="12826" width="6.7109375" style="36" customWidth="1"/>
    <col min="12827" max="13056" width="8.7109375" style="36"/>
    <col min="13057" max="13057" width="49.140625" style="36" customWidth="1"/>
    <col min="13058" max="13058" width="16.42578125" style="36" customWidth="1"/>
    <col min="13059" max="13059" width="8.7109375" style="36"/>
    <col min="13060" max="13060" width="11.42578125" style="36" customWidth="1"/>
    <col min="13061" max="13061" width="9.42578125" style="36" customWidth="1"/>
    <col min="13062" max="13062" width="9.7109375" style="36" bestFit="1" customWidth="1"/>
    <col min="13063" max="13063" width="8.7109375" style="36"/>
    <col min="13064" max="13064" width="25" style="36" customWidth="1"/>
    <col min="13065" max="13065" width="12.85546875" style="36" customWidth="1"/>
    <col min="13066" max="13066" width="8.7109375" style="36"/>
    <col min="13067" max="13067" width="15.7109375" style="36" customWidth="1"/>
    <col min="13068" max="13068" width="11.28515625" style="36" bestFit="1" customWidth="1"/>
    <col min="13069" max="13069" width="12.140625" style="36" customWidth="1"/>
    <col min="13070" max="13070" width="9.7109375" style="36" customWidth="1"/>
    <col min="13071" max="13071" width="54.5703125" style="36" customWidth="1"/>
    <col min="13072" max="13072" width="29.28515625" style="36" bestFit="1" customWidth="1"/>
    <col min="13073" max="13073" width="11.5703125" style="36" customWidth="1"/>
    <col min="13074" max="13074" width="13.42578125" style="36" customWidth="1"/>
    <col min="13075" max="13082" width="6.7109375" style="36" customWidth="1"/>
    <col min="13083" max="13312" width="8.7109375" style="36"/>
    <col min="13313" max="13313" width="49.140625" style="36" customWidth="1"/>
    <col min="13314" max="13314" width="16.42578125" style="36" customWidth="1"/>
    <col min="13315" max="13315" width="8.7109375" style="36"/>
    <col min="13316" max="13316" width="11.42578125" style="36" customWidth="1"/>
    <col min="13317" max="13317" width="9.42578125" style="36" customWidth="1"/>
    <col min="13318" max="13318" width="9.7109375" style="36" bestFit="1" customWidth="1"/>
    <col min="13319" max="13319" width="8.7109375" style="36"/>
    <col min="13320" max="13320" width="25" style="36" customWidth="1"/>
    <col min="13321" max="13321" width="12.85546875" style="36" customWidth="1"/>
    <col min="13322" max="13322" width="8.7109375" style="36"/>
    <col min="13323" max="13323" width="15.7109375" style="36" customWidth="1"/>
    <col min="13324" max="13324" width="11.28515625" style="36" bestFit="1" customWidth="1"/>
    <col min="13325" max="13325" width="12.140625" style="36" customWidth="1"/>
    <col min="13326" max="13326" width="9.7109375" style="36" customWidth="1"/>
    <col min="13327" max="13327" width="54.5703125" style="36" customWidth="1"/>
    <col min="13328" max="13328" width="29.28515625" style="36" bestFit="1" customWidth="1"/>
    <col min="13329" max="13329" width="11.5703125" style="36" customWidth="1"/>
    <col min="13330" max="13330" width="13.42578125" style="36" customWidth="1"/>
    <col min="13331" max="13338" width="6.7109375" style="36" customWidth="1"/>
    <col min="13339" max="13568" width="8.7109375" style="36"/>
    <col min="13569" max="13569" width="49.140625" style="36" customWidth="1"/>
    <col min="13570" max="13570" width="16.42578125" style="36" customWidth="1"/>
    <col min="13571" max="13571" width="8.7109375" style="36"/>
    <col min="13572" max="13572" width="11.42578125" style="36" customWidth="1"/>
    <col min="13573" max="13573" width="9.42578125" style="36" customWidth="1"/>
    <col min="13574" max="13574" width="9.7109375" style="36" bestFit="1" customWidth="1"/>
    <col min="13575" max="13575" width="8.7109375" style="36"/>
    <col min="13576" max="13576" width="25" style="36" customWidth="1"/>
    <col min="13577" max="13577" width="12.85546875" style="36" customWidth="1"/>
    <col min="13578" max="13578" width="8.7109375" style="36"/>
    <col min="13579" max="13579" width="15.7109375" style="36" customWidth="1"/>
    <col min="13580" max="13580" width="11.28515625" style="36" bestFit="1" customWidth="1"/>
    <col min="13581" max="13581" width="12.140625" style="36" customWidth="1"/>
    <col min="13582" max="13582" width="9.7109375" style="36" customWidth="1"/>
    <col min="13583" max="13583" width="54.5703125" style="36" customWidth="1"/>
    <col min="13584" max="13584" width="29.28515625" style="36" bestFit="1" customWidth="1"/>
    <col min="13585" max="13585" width="11.5703125" style="36" customWidth="1"/>
    <col min="13586" max="13586" width="13.42578125" style="36" customWidth="1"/>
    <col min="13587" max="13594" width="6.7109375" style="36" customWidth="1"/>
    <col min="13595" max="13824" width="8.7109375" style="36"/>
    <col min="13825" max="13825" width="49.140625" style="36" customWidth="1"/>
    <col min="13826" max="13826" width="16.42578125" style="36" customWidth="1"/>
    <col min="13827" max="13827" width="8.7109375" style="36"/>
    <col min="13828" max="13828" width="11.42578125" style="36" customWidth="1"/>
    <col min="13829" max="13829" width="9.42578125" style="36" customWidth="1"/>
    <col min="13830" max="13830" width="9.7109375" style="36" bestFit="1" customWidth="1"/>
    <col min="13831" max="13831" width="8.7109375" style="36"/>
    <col min="13832" max="13832" width="25" style="36" customWidth="1"/>
    <col min="13833" max="13833" width="12.85546875" style="36" customWidth="1"/>
    <col min="13834" max="13834" width="8.7109375" style="36"/>
    <col min="13835" max="13835" width="15.7109375" style="36" customWidth="1"/>
    <col min="13836" max="13836" width="11.28515625" style="36" bestFit="1" customWidth="1"/>
    <col min="13837" max="13837" width="12.140625" style="36" customWidth="1"/>
    <col min="13838" max="13838" width="9.7109375" style="36" customWidth="1"/>
    <col min="13839" max="13839" width="54.5703125" style="36" customWidth="1"/>
    <col min="13840" max="13840" width="29.28515625" style="36" bestFit="1" customWidth="1"/>
    <col min="13841" max="13841" width="11.5703125" style="36" customWidth="1"/>
    <col min="13842" max="13842" width="13.42578125" style="36" customWidth="1"/>
    <col min="13843" max="13850" width="6.7109375" style="36" customWidth="1"/>
    <col min="13851" max="14080" width="8.7109375" style="36"/>
    <col min="14081" max="14081" width="49.140625" style="36" customWidth="1"/>
    <col min="14082" max="14082" width="16.42578125" style="36" customWidth="1"/>
    <col min="14083" max="14083" width="8.7109375" style="36"/>
    <col min="14084" max="14084" width="11.42578125" style="36" customWidth="1"/>
    <col min="14085" max="14085" width="9.42578125" style="36" customWidth="1"/>
    <col min="14086" max="14086" width="9.7109375" style="36" bestFit="1" customWidth="1"/>
    <col min="14087" max="14087" width="8.7109375" style="36"/>
    <col min="14088" max="14088" width="25" style="36" customWidth="1"/>
    <col min="14089" max="14089" width="12.85546875" style="36" customWidth="1"/>
    <col min="14090" max="14090" width="8.7109375" style="36"/>
    <col min="14091" max="14091" width="15.7109375" style="36" customWidth="1"/>
    <col min="14092" max="14092" width="11.28515625" style="36" bestFit="1" customWidth="1"/>
    <col min="14093" max="14093" width="12.140625" style="36" customWidth="1"/>
    <col min="14094" max="14094" width="9.7109375" style="36" customWidth="1"/>
    <col min="14095" max="14095" width="54.5703125" style="36" customWidth="1"/>
    <col min="14096" max="14096" width="29.28515625" style="36" bestFit="1" customWidth="1"/>
    <col min="14097" max="14097" width="11.5703125" style="36" customWidth="1"/>
    <col min="14098" max="14098" width="13.42578125" style="36" customWidth="1"/>
    <col min="14099" max="14106" width="6.7109375" style="36" customWidth="1"/>
    <col min="14107" max="14336" width="8.7109375" style="36"/>
    <col min="14337" max="14337" width="49.140625" style="36" customWidth="1"/>
    <col min="14338" max="14338" width="16.42578125" style="36" customWidth="1"/>
    <col min="14339" max="14339" width="8.7109375" style="36"/>
    <col min="14340" max="14340" width="11.42578125" style="36" customWidth="1"/>
    <col min="14341" max="14341" width="9.42578125" style="36" customWidth="1"/>
    <col min="14342" max="14342" width="9.7109375" style="36" bestFit="1" customWidth="1"/>
    <col min="14343" max="14343" width="8.7109375" style="36"/>
    <col min="14344" max="14344" width="25" style="36" customWidth="1"/>
    <col min="14345" max="14345" width="12.85546875" style="36" customWidth="1"/>
    <col min="14346" max="14346" width="8.7109375" style="36"/>
    <col min="14347" max="14347" width="15.7109375" style="36" customWidth="1"/>
    <col min="14348" max="14348" width="11.28515625" style="36" bestFit="1" customWidth="1"/>
    <col min="14349" max="14349" width="12.140625" style="36" customWidth="1"/>
    <col min="14350" max="14350" width="9.7109375" style="36" customWidth="1"/>
    <col min="14351" max="14351" width="54.5703125" style="36" customWidth="1"/>
    <col min="14352" max="14352" width="29.28515625" style="36" bestFit="1" customWidth="1"/>
    <col min="14353" max="14353" width="11.5703125" style="36" customWidth="1"/>
    <col min="14354" max="14354" width="13.42578125" style="36" customWidth="1"/>
    <col min="14355" max="14362" width="6.7109375" style="36" customWidth="1"/>
    <col min="14363" max="14592" width="8.7109375" style="36"/>
    <col min="14593" max="14593" width="49.140625" style="36" customWidth="1"/>
    <col min="14594" max="14594" width="16.42578125" style="36" customWidth="1"/>
    <col min="14595" max="14595" width="8.7109375" style="36"/>
    <col min="14596" max="14596" width="11.42578125" style="36" customWidth="1"/>
    <col min="14597" max="14597" width="9.42578125" style="36" customWidth="1"/>
    <col min="14598" max="14598" width="9.7109375" style="36" bestFit="1" customWidth="1"/>
    <col min="14599" max="14599" width="8.7109375" style="36"/>
    <col min="14600" max="14600" width="25" style="36" customWidth="1"/>
    <col min="14601" max="14601" width="12.85546875" style="36" customWidth="1"/>
    <col min="14602" max="14602" width="8.7109375" style="36"/>
    <col min="14603" max="14603" width="15.7109375" style="36" customWidth="1"/>
    <col min="14604" max="14604" width="11.28515625" style="36" bestFit="1" customWidth="1"/>
    <col min="14605" max="14605" width="12.140625" style="36" customWidth="1"/>
    <col min="14606" max="14606" width="9.7109375" style="36" customWidth="1"/>
    <col min="14607" max="14607" width="54.5703125" style="36" customWidth="1"/>
    <col min="14608" max="14608" width="29.28515625" style="36" bestFit="1" customWidth="1"/>
    <col min="14609" max="14609" width="11.5703125" style="36" customWidth="1"/>
    <col min="14610" max="14610" width="13.42578125" style="36" customWidth="1"/>
    <col min="14611" max="14618" width="6.7109375" style="36" customWidth="1"/>
    <col min="14619" max="14848" width="8.7109375" style="36"/>
    <col min="14849" max="14849" width="49.140625" style="36" customWidth="1"/>
    <col min="14850" max="14850" width="16.42578125" style="36" customWidth="1"/>
    <col min="14851" max="14851" width="8.7109375" style="36"/>
    <col min="14852" max="14852" width="11.42578125" style="36" customWidth="1"/>
    <col min="14853" max="14853" width="9.42578125" style="36" customWidth="1"/>
    <col min="14854" max="14854" width="9.7109375" style="36" bestFit="1" customWidth="1"/>
    <col min="14855" max="14855" width="8.7109375" style="36"/>
    <col min="14856" max="14856" width="25" style="36" customWidth="1"/>
    <col min="14857" max="14857" width="12.85546875" style="36" customWidth="1"/>
    <col min="14858" max="14858" width="8.7109375" style="36"/>
    <col min="14859" max="14859" width="15.7109375" style="36" customWidth="1"/>
    <col min="14860" max="14860" width="11.28515625" style="36" bestFit="1" customWidth="1"/>
    <col min="14861" max="14861" width="12.140625" style="36" customWidth="1"/>
    <col min="14862" max="14862" width="9.7109375" style="36" customWidth="1"/>
    <col min="14863" max="14863" width="54.5703125" style="36" customWidth="1"/>
    <col min="14864" max="14864" width="29.28515625" style="36" bestFit="1" customWidth="1"/>
    <col min="14865" max="14865" width="11.5703125" style="36" customWidth="1"/>
    <col min="14866" max="14866" width="13.42578125" style="36" customWidth="1"/>
    <col min="14867" max="14874" width="6.7109375" style="36" customWidth="1"/>
    <col min="14875" max="15104" width="8.7109375" style="36"/>
    <col min="15105" max="15105" width="49.140625" style="36" customWidth="1"/>
    <col min="15106" max="15106" width="16.42578125" style="36" customWidth="1"/>
    <col min="15107" max="15107" width="8.7109375" style="36"/>
    <col min="15108" max="15108" width="11.42578125" style="36" customWidth="1"/>
    <col min="15109" max="15109" width="9.42578125" style="36" customWidth="1"/>
    <col min="15110" max="15110" width="9.7109375" style="36" bestFit="1" customWidth="1"/>
    <col min="15111" max="15111" width="8.7109375" style="36"/>
    <col min="15112" max="15112" width="25" style="36" customWidth="1"/>
    <col min="15113" max="15113" width="12.85546875" style="36" customWidth="1"/>
    <col min="15114" max="15114" width="8.7109375" style="36"/>
    <col min="15115" max="15115" width="15.7109375" style="36" customWidth="1"/>
    <col min="15116" max="15116" width="11.28515625" style="36" bestFit="1" customWidth="1"/>
    <col min="15117" max="15117" width="12.140625" style="36" customWidth="1"/>
    <col min="15118" max="15118" width="9.7109375" style="36" customWidth="1"/>
    <col min="15119" max="15119" width="54.5703125" style="36" customWidth="1"/>
    <col min="15120" max="15120" width="29.28515625" style="36" bestFit="1" customWidth="1"/>
    <col min="15121" max="15121" width="11.5703125" style="36" customWidth="1"/>
    <col min="15122" max="15122" width="13.42578125" style="36" customWidth="1"/>
    <col min="15123" max="15130" width="6.7109375" style="36" customWidth="1"/>
    <col min="15131" max="15360" width="8.7109375" style="36"/>
    <col min="15361" max="15361" width="49.140625" style="36" customWidth="1"/>
    <col min="15362" max="15362" width="16.42578125" style="36" customWidth="1"/>
    <col min="15363" max="15363" width="8.7109375" style="36"/>
    <col min="15364" max="15364" width="11.42578125" style="36" customWidth="1"/>
    <col min="15365" max="15365" width="9.42578125" style="36" customWidth="1"/>
    <col min="15366" max="15366" width="9.7109375" style="36" bestFit="1" customWidth="1"/>
    <col min="15367" max="15367" width="8.7109375" style="36"/>
    <col min="15368" max="15368" width="25" style="36" customWidth="1"/>
    <col min="15369" max="15369" width="12.85546875" style="36" customWidth="1"/>
    <col min="15370" max="15370" width="8.7109375" style="36"/>
    <col min="15371" max="15371" width="15.7109375" style="36" customWidth="1"/>
    <col min="15372" max="15372" width="11.28515625" style="36" bestFit="1" customWidth="1"/>
    <col min="15373" max="15373" width="12.140625" style="36" customWidth="1"/>
    <col min="15374" max="15374" width="9.7109375" style="36" customWidth="1"/>
    <col min="15375" max="15375" width="54.5703125" style="36" customWidth="1"/>
    <col min="15376" max="15376" width="29.28515625" style="36" bestFit="1" customWidth="1"/>
    <col min="15377" max="15377" width="11.5703125" style="36" customWidth="1"/>
    <col min="15378" max="15378" width="13.42578125" style="36" customWidth="1"/>
    <col min="15379" max="15386" width="6.7109375" style="36" customWidth="1"/>
    <col min="15387" max="15616" width="8.7109375" style="36"/>
    <col min="15617" max="15617" width="49.140625" style="36" customWidth="1"/>
    <col min="15618" max="15618" width="16.42578125" style="36" customWidth="1"/>
    <col min="15619" max="15619" width="8.7109375" style="36"/>
    <col min="15620" max="15620" width="11.42578125" style="36" customWidth="1"/>
    <col min="15621" max="15621" width="9.42578125" style="36" customWidth="1"/>
    <col min="15622" max="15622" width="9.7109375" style="36" bestFit="1" customWidth="1"/>
    <col min="15623" max="15623" width="8.7109375" style="36"/>
    <col min="15624" max="15624" width="25" style="36" customWidth="1"/>
    <col min="15625" max="15625" width="12.85546875" style="36" customWidth="1"/>
    <col min="15626" max="15626" width="8.7109375" style="36"/>
    <col min="15627" max="15627" width="15.7109375" style="36" customWidth="1"/>
    <col min="15628" max="15628" width="11.28515625" style="36" bestFit="1" customWidth="1"/>
    <col min="15629" max="15629" width="12.140625" style="36" customWidth="1"/>
    <col min="15630" max="15630" width="9.7109375" style="36" customWidth="1"/>
    <col min="15631" max="15631" width="54.5703125" style="36" customWidth="1"/>
    <col min="15632" max="15632" width="29.28515625" style="36" bestFit="1" customWidth="1"/>
    <col min="15633" max="15633" width="11.5703125" style="36" customWidth="1"/>
    <col min="15634" max="15634" width="13.42578125" style="36" customWidth="1"/>
    <col min="15635" max="15642" width="6.7109375" style="36" customWidth="1"/>
    <col min="15643" max="15872" width="8.7109375" style="36"/>
    <col min="15873" max="15873" width="49.140625" style="36" customWidth="1"/>
    <col min="15874" max="15874" width="16.42578125" style="36" customWidth="1"/>
    <col min="15875" max="15875" width="8.7109375" style="36"/>
    <col min="15876" max="15876" width="11.42578125" style="36" customWidth="1"/>
    <col min="15877" max="15877" width="9.42578125" style="36" customWidth="1"/>
    <col min="15878" max="15878" width="9.7109375" style="36" bestFit="1" customWidth="1"/>
    <col min="15879" max="15879" width="8.7109375" style="36"/>
    <col min="15880" max="15880" width="25" style="36" customWidth="1"/>
    <col min="15881" max="15881" width="12.85546875" style="36" customWidth="1"/>
    <col min="15882" max="15882" width="8.7109375" style="36"/>
    <col min="15883" max="15883" width="15.7109375" style="36" customWidth="1"/>
    <col min="15884" max="15884" width="11.28515625" style="36" bestFit="1" customWidth="1"/>
    <col min="15885" max="15885" width="12.140625" style="36" customWidth="1"/>
    <col min="15886" max="15886" width="9.7109375" style="36" customWidth="1"/>
    <col min="15887" max="15887" width="54.5703125" style="36" customWidth="1"/>
    <col min="15888" max="15888" width="29.28515625" style="36" bestFit="1" customWidth="1"/>
    <col min="15889" max="15889" width="11.5703125" style="36" customWidth="1"/>
    <col min="15890" max="15890" width="13.42578125" style="36" customWidth="1"/>
    <col min="15891" max="15898" width="6.7109375" style="36" customWidth="1"/>
    <col min="15899" max="16128" width="8.7109375" style="36"/>
    <col min="16129" max="16129" width="49.140625" style="36" customWidth="1"/>
    <col min="16130" max="16130" width="16.42578125" style="36" customWidth="1"/>
    <col min="16131" max="16131" width="8.7109375" style="36"/>
    <col min="16132" max="16132" width="11.42578125" style="36" customWidth="1"/>
    <col min="16133" max="16133" width="9.42578125" style="36" customWidth="1"/>
    <col min="16134" max="16134" width="9.7109375" style="36" bestFit="1" customWidth="1"/>
    <col min="16135" max="16135" width="8.7109375" style="36"/>
    <col min="16136" max="16136" width="25" style="36" customWidth="1"/>
    <col min="16137" max="16137" width="12.85546875" style="36" customWidth="1"/>
    <col min="16138" max="16138" width="8.7109375" style="36"/>
    <col min="16139" max="16139" width="15.7109375" style="36" customWidth="1"/>
    <col min="16140" max="16140" width="11.28515625" style="36" bestFit="1" customWidth="1"/>
    <col min="16141" max="16141" width="12.140625" style="36" customWidth="1"/>
    <col min="16142" max="16142" width="9.7109375" style="36" customWidth="1"/>
    <col min="16143" max="16143" width="54.5703125" style="36" customWidth="1"/>
    <col min="16144" max="16144" width="29.28515625" style="36" bestFit="1" customWidth="1"/>
    <col min="16145" max="16145" width="11.5703125" style="36" customWidth="1"/>
    <col min="16146" max="16146" width="13.42578125" style="36" customWidth="1"/>
    <col min="16147" max="16154" width="6.7109375" style="36" customWidth="1"/>
    <col min="16155" max="16384" width="8.7109375" style="36"/>
  </cols>
  <sheetData>
    <row r="1" spans="1:16" ht="24.95" customHeight="1">
      <c r="A1" s="1" t="s">
        <v>0</v>
      </c>
      <c r="B1" s="1">
        <v>3</v>
      </c>
      <c r="C1" s="2" t="s">
        <v>146</v>
      </c>
      <c r="H1" s="4" t="s">
        <v>1</v>
      </c>
      <c r="I1" s="5"/>
      <c r="J1" s="3"/>
      <c r="K1" s="3"/>
      <c r="L1" s="3"/>
      <c r="M1" s="3"/>
      <c r="N1" s="3"/>
    </row>
    <row r="2" spans="1:16" ht="15" customHeight="1">
      <c r="A2" s="6"/>
      <c r="B2" s="7" t="s">
        <v>2</v>
      </c>
      <c r="C2" s="8"/>
      <c r="D2" s="251" t="s">
        <v>3</v>
      </c>
      <c r="E2" s="252"/>
      <c r="F2" s="253" t="s">
        <v>4</v>
      </c>
      <c r="H2" s="3"/>
      <c r="I2" s="3"/>
      <c r="J2" s="3"/>
      <c r="K2" s="3"/>
      <c r="L2" s="3"/>
      <c r="M2" s="3"/>
      <c r="N2" s="3"/>
    </row>
    <row r="3" spans="1:16" ht="15" customHeight="1">
      <c r="A3" s="9" t="s">
        <v>5</v>
      </c>
      <c r="B3" s="250">
        <f>60141.5879852454+67317.5127701927</f>
        <v>127459.10075543809</v>
      </c>
      <c r="C3" s="10">
        <f>SUM(C4:C5)</f>
        <v>1</v>
      </c>
      <c r="D3" s="255" t="e">
        <f>SUM(D4:D5)</f>
        <v>#VALUE!</v>
      </c>
      <c r="E3" s="254" t="e">
        <f>D3/$D$3</f>
        <v>#VALUE!</v>
      </c>
      <c r="F3" s="256" t="s">
        <v>6</v>
      </c>
      <c r="H3" s="9" t="s">
        <v>7</v>
      </c>
      <c r="I3" s="11">
        <v>0</v>
      </c>
      <c r="J3" s="12" t="s">
        <v>8</v>
      </c>
      <c r="K3" s="3"/>
      <c r="L3" s="13" t="s">
        <v>9</v>
      </c>
      <c r="M3" s="492">
        <v>0.47185008860718358</v>
      </c>
      <c r="N3" s="14">
        <f>M3*B3</f>
        <v>60141.587985245402</v>
      </c>
    </row>
    <row r="4" spans="1:16" ht="15" customHeight="1">
      <c r="A4" s="15" t="s">
        <v>10</v>
      </c>
      <c r="B4" s="16">
        <f>C4*B3</f>
        <v>109009.39511412424</v>
      </c>
      <c r="C4" s="17">
        <v>0.85524999366883825</v>
      </c>
      <c r="D4" s="257" t="e">
        <f>SUMIFS([19]Ram!G2:G992,[19]Ram!C2:C992,230,[19]Ram!F2:F992,"S")</f>
        <v>#VALUE!</v>
      </c>
      <c r="E4" s="258" t="e">
        <f>D4/$D$3</f>
        <v>#VALUE!</v>
      </c>
      <c r="F4" s="259" t="e">
        <f>B4/D4</f>
        <v>#VALUE!</v>
      </c>
      <c r="H4" s="3"/>
      <c r="I4" s="3"/>
      <c r="J4" s="3"/>
      <c r="K4" s="3"/>
      <c r="L4" s="13" t="s">
        <v>11</v>
      </c>
      <c r="M4" s="492">
        <v>0.52814991139281642</v>
      </c>
      <c r="N4" s="14">
        <f>M4*B3</f>
        <v>67317.512770192683</v>
      </c>
    </row>
    <row r="5" spans="1:16" ht="15" customHeight="1">
      <c r="A5" s="18" t="s">
        <v>12</v>
      </c>
      <c r="B5" s="19">
        <f>C5*B3</f>
        <v>18449.705641313849</v>
      </c>
      <c r="C5" s="20">
        <f>1-C4</f>
        <v>0.14475000633116175</v>
      </c>
      <c r="D5" s="260" t="e">
        <f>SUMIFS([19]Ram!G2:G992,[19]Ram!C2:C992,115,[19]Ram!F2:F992,"S")</f>
        <v>#VALUE!</v>
      </c>
      <c r="E5" s="261" t="e">
        <f>D5/$D$3</f>
        <v>#VALUE!</v>
      </c>
      <c r="F5" s="262" t="e">
        <f>B5/D5</f>
        <v>#VALUE!</v>
      </c>
      <c r="H5" s="3"/>
      <c r="I5" s="3"/>
      <c r="J5" s="3"/>
      <c r="K5" s="3"/>
      <c r="L5" s="3"/>
      <c r="M5" s="3"/>
      <c r="N5" s="3"/>
      <c r="P5" s="519"/>
    </row>
    <row r="6" spans="1:16" ht="15" customHeight="1">
      <c r="A6" s="21"/>
      <c r="B6" s="21"/>
      <c r="C6" s="22"/>
      <c r="E6" s="263"/>
      <c r="H6" s="3"/>
      <c r="I6" s="3"/>
      <c r="J6" s="3"/>
      <c r="K6" s="3"/>
      <c r="L6" s="23" t="s">
        <v>13</v>
      </c>
      <c r="M6" s="24">
        <f>[19]ENERGIA!L17</f>
        <v>0</v>
      </c>
      <c r="N6" s="25" t="s">
        <v>14</v>
      </c>
      <c r="P6" s="519"/>
    </row>
    <row r="7" spans="1:16" ht="15" customHeight="1">
      <c r="A7" s="26" t="s">
        <v>15</v>
      </c>
      <c r="B7" s="250"/>
      <c r="C7" s="10">
        <v>1</v>
      </c>
      <c r="D7" s="264" t="e">
        <f>SUMIF([19]Ram!F3:F992,"SD",[19]Ram!G3:G992)</f>
        <v>#VALUE!</v>
      </c>
      <c r="E7" s="254">
        <v>1</v>
      </c>
      <c r="F7" s="265">
        <f>IF(B7&gt;0,B7/D7,0)</f>
        <v>0</v>
      </c>
      <c r="G7" s="36" t="s">
        <v>138</v>
      </c>
      <c r="H7" s="9" t="s">
        <v>16</v>
      </c>
      <c r="I7" s="11">
        <v>0</v>
      </c>
      <c r="J7" s="12" t="s">
        <v>8</v>
      </c>
      <c r="K7" s="3"/>
      <c r="L7" s="27" t="s">
        <v>17</v>
      </c>
      <c r="M7" s="28">
        <f>[19]ENERGIA!L2</f>
        <v>0</v>
      </c>
      <c r="N7" s="29" t="s">
        <v>14</v>
      </c>
    </row>
    <row r="9" spans="1:16" ht="15" customHeight="1">
      <c r="A9" s="532" t="s">
        <v>18</v>
      </c>
      <c r="B9" s="532"/>
      <c r="C9" s="532"/>
      <c r="D9" s="532"/>
      <c r="E9" s="532"/>
      <c r="F9" s="532"/>
      <c r="G9" s="532"/>
      <c r="H9" s="532"/>
      <c r="I9" s="532"/>
      <c r="J9" s="532"/>
      <c r="K9" s="532"/>
      <c r="L9" s="532"/>
    </row>
    <row r="10" spans="1:16" ht="15" customHeight="1">
      <c r="A10" s="266" t="s">
        <v>19</v>
      </c>
      <c r="B10" s="267">
        <v>1</v>
      </c>
      <c r="C10" s="268">
        <v>2</v>
      </c>
      <c r="D10" s="268">
        <v>3</v>
      </c>
      <c r="E10" s="268">
        <v>4</v>
      </c>
      <c r="F10" s="268">
        <v>5</v>
      </c>
      <c r="G10" s="268">
        <v>6</v>
      </c>
      <c r="H10" s="268">
        <v>7</v>
      </c>
      <c r="I10" s="268">
        <v>8</v>
      </c>
      <c r="J10" s="268">
        <v>9</v>
      </c>
      <c r="K10" s="269">
        <v>10</v>
      </c>
      <c r="L10" s="270" t="s">
        <v>20</v>
      </c>
    </row>
    <row r="11" spans="1:16" ht="15" customHeight="1">
      <c r="A11" s="271" t="s">
        <v>21</v>
      </c>
      <c r="B11" s="272">
        <f t="shared" ref="B11:K11" si="0">SUMIF($G$17:$G$1036,B$10,$D$17:$D$1037)</f>
        <v>381.78000000000003</v>
      </c>
      <c r="C11" s="272">
        <f t="shared" si="0"/>
        <v>548.68000000000006</v>
      </c>
      <c r="D11" s="272">
        <f t="shared" si="0"/>
        <v>194.10000000000005</v>
      </c>
      <c r="E11" s="272">
        <f t="shared" si="0"/>
        <v>794.84999999999968</v>
      </c>
      <c r="F11" s="272">
        <f t="shared" si="0"/>
        <v>806.46999999999991</v>
      </c>
      <c r="G11" s="272">
        <f t="shared" si="0"/>
        <v>451.46</v>
      </c>
      <c r="H11" s="272">
        <f t="shared" si="0"/>
        <v>153.13999999999999</v>
      </c>
      <c r="I11" s="272">
        <f t="shared" si="0"/>
        <v>260</v>
      </c>
      <c r="J11" s="272">
        <f t="shared" si="0"/>
        <v>1376.25</v>
      </c>
      <c r="K11" s="272">
        <f t="shared" si="0"/>
        <v>254.8</v>
      </c>
      <c r="L11" s="273">
        <f>SUM(B11:K11)</f>
        <v>5221.53</v>
      </c>
      <c r="M11" s="281">
        <f>SUM(D17,D37,D45,D58,D117,D166,D188,D193,D196,D204)</f>
        <v>5221.53</v>
      </c>
    </row>
    <row r="12" spans="1:16" ht="15" customHeight="1">
      <c r="A12" s="275" t="s">
        <v>22</v>
      </c>
      <c r="B12" s="276">
        <f t="shared" ref="B12:K12" si="1">SUMIF($M$18:$M$1033,B$10,$K$18:$K$1033)</f>
        <v>27.68</v>
      </c>
      <c r="C12" s="276">
        <f t="shared" si="1"/>
        <v>0</v>
      </c>
      <c r="D12" s="276">
        <f t="shared" si="1"/>
        <v>0.09</v>
      </c>
      <c r="E12" s="276">
        <f t="shared" si="1"/>
        <v>142.41</v>
      </c>
      <c r="F12" s="276">
        <f t="shared" si="1"/>
        <v>224.80253899660923</v>
      </c>
      <c r="G12" s="276">
        <f t="shared" si="1"/>
        <v>286.99</v>
      </c>
      <c r="H12" s="276">
        <f t="shared" si="1"/>
        <v>1066.42</v>
      </c>
      <c r="I12" s="276">
        <f t="shared" si="1"/>
        <v>1.7</v>
      </c>
      <c r="J12" s="276">
        <f t="shared" si="1"/>
        <v>153.85</v>
      </c>
      <c r="K12" s="276">
        <f t="shared" si="1"/>
        <v>56.870000000000005</v>
      </c>
      <c r="L12" s="277">
        <f>SUM(B12:K12)</f>
        <v>1960.8125389966094</v>
      </c>
      <c r="M12" s="274">
        <f>SUM(K17,K22,K24,K28,K33,K43,K51,K71,K75,K82)</f>
        <v>1960.8125389966094</v>
      </c>
    </row>
    <row r="13" spans="1:16" ht="15" customHeight="1">
      <c r="M13" s="278"/>
    </row>
    <row r="15" spans="1:16" ht="15" customHeight="1">
      <c r="A15" s="282" t="s">
        <v>23</v>
      </c>
      <c r="B15" s="283"/>
      <c r="C15" s="283"/>
      <c r="D15" s="283"/>
      <c r="E15" s="283"/>
      <c r="F15" s="283"/>
      <c r="G15" s="284"/>
      <c r="H15" s="282" t="s">
        <v>24</v>
      </c>
      <c r="I15" s="283"/>
      <c r="J15" s="283"/>
      <c r="K15" s="283"/>
      <c r="L15" s="283"/>
      <c r="M15" s="283"/>
    </row>
    <row r="16" spans="1:16" ht="25.5">
      <c r="A16" s="285" t="s">
        <v>25</v>
      </c>
      <c r="B16" s="286"/>
      <c r="C16" s="287" t="s">
        <v>26</v>
      </c>
      <c r="D16" s="31" t="s">
        <v>21</v>
      </c>
      <c r="E16" s="31" t="s">
        <v>27</v>
      </c>
      <c r="F16" s="279"/>
      <c r="G16" s="279"/>
      <c r="H16" s="288" t="s">
        <v>25</v>
      </c>
      <c r="I16" s="289"/>
      <c r="J16" s="290" t="s">
        <v>26</v>
      </c>
      <c r="K16" s="291" t="s">
        <v>22</v>
      </c>
      <c r="L16" s="280">
        <f>+K17+K22+K24+K28+K33+K43+K51+K71+K75+K82</f>
        <v>1960.8125389966094</v>
      </c>
      <c r="M16" s="279"/>
    </row>
    <row r="17" spans="1:18" ht="15" customHeight="1">
      <c r="A17" s="32">
        <v>1</v>
      </c>
      <c r="B17" s="33"/>
      <c r="C17" s="43"/>
      <c r="D17" s="297">
        <f>SUM(D18:D35)</f>
        <v>381.78000000000003</v>
      </c>
      <c r="E17" s="294"/>
      <c r="F17" s="30"/>
      <c r="G17" s="30"/>
      <c r="H17" s="295">
        <v>1</v>
      </c>
      <c r="I17" s="296"/>
      <c r="J17" s="318"/>
      <c r="K17" s="297">
        <f>SUM(K18:K20)</f>
        <v>27.68</v>
      </c>
      <c r="L17" s="278"/>
      <c r="M17" s="278"/>
      <c r="O17" s="489"/>
      <c r="P17" s="489"/>
      <c r="Q17" s="520"/>
      <c r="R17" s="520"/>
    </row>
    <row r="18" spans="1:18" ht="15" customHeight="1">
      <c r="A18" s="343" t="s">
        <v>149</v>
      </c>
      <c r="B18" s="344" t="s">
        <v>150</v>
      </c>
      <c r="C18" s="353">
        <v>6014</v>
      </c>
      <c r="D18" s="353">
        <v>87.6</v>
      </c>
      <c r="E18" s="351">
        <v>0</v>
      </c>
      <c r="F18" s="30" t="str">
        <f>IFERROR(VLOOKUP($C18,[19]Nod!$A$3:$E$986,4,FALSE)," ")</f>
        <v>PRO230</v>
      </c>
      <c r="G18" s="30">
        <f>IFERROR(VLOOKUP($C18,[19]Nod!$A$3:$E$986,5,FALSE)," ")</f>
        <v>1</v>
      </c>
      <c r="H18" s="293" t="s">
        <v>28</v>
      </c>
      <c r="I18" s="64"/>
      <c r="J18" s="65"/>
      <c r="K18" s="65"/>
      <c r="L18" s="278"/>
      <c r="M18" s="278"/>
      <c r="O18" s="489"/>
      <c r="P18" s="489"/>
      <c r="Q18" s="520"/>
      <c r="R18" s="520"/>
    </row>
    <row r="19" spans="1:18" ht="15" customHeight="1">
      <c r="A19" s="343" t="s">
        <v>151</v>
      </c>
      <c r="B19" s="344" t="s">
        <v>150</v>
      </c>
      <c r="C19" s="353">
        <v>6014</v>
      </c>
      <c r="D19" s="353">
        <v>57.4</v>
      </c>
      <c r="E19" s="351">
        <v>0</v>
      </c>
      <c r="F19" s="30" t="str">
        <f>IFERROR(VLOOKUP($C19,[19]Nod!$A$3:$E$986,4,FALSE)," ")</f>
        <v>PRO230</v>
      </c>
      <c r="G19" s="30">
        <f>IFERROR(VLOOKUP($C19,[19]Nod!$A$3:$E$986,5,FALSE)," ")</f>
        <v>1</v>
      </c>
      <c r="H19" s="66" t="s">
        <v>29</v>
      </c>
      <c r="I19" s="64"/>
      <c r="J19" s="65">
        <v>6014</v>
      </c>
      <c r="K19" s="62">
        <v>27.23</v>
      </c>
      <c r="L19" s="278" t="str">
        <f>VLOOKUP($J19,[19]Nod!$A$3:$E$985,4,FALSE)</f>
        <v>PRO230</v>
      </c>
      <c r="M19" s="278">
        <f>VLOOKUP($J19,[19]Nod!$A$3:$E$985,5,FALSE)</f>
        <v>1</v>
      </c>
      <c r="O19" s="489"/>
      <c r="P19" s="489"/>
      <c r="Q19" s="520"/>
      <c r="R19" s="520"/>
    </row>
    <row r="20" spans="1:18" ht="15" customHeight="1">
      <c r="A20" s="343" t="s">
        <v>152</v>
      </c>
      <c r="B20" s="344" t="s">
        <v>150</v>
      </c>
      <c r="C20" s="353">
        <v>6014</v>
      </c>
      <c r="D20" s="353">
        <v>30</v>
      </c>
      <c r="E20" s="351">
        <v>0</v>
      </c>
      <c r="F20" s="30" t="str">
        <f>IFERROR(VLOOKUP($C20,[19]Nod!$A$3:$E$986,4,FALSE)," ")</f>
        <v>PRO230</v>
      </c>
      <c r="G20" s="30">
        <f>IFERROR(VLOOKUP($C20,[19]Nod!$A$3:$E$986,5,FALSE)," ")</f>
        <v>1</v>
      </c>
      <c r="H20" s="66" t="s">
        <v>30</v>
      </c>
      <c r="I20" s="64"/>
      <c r="J20" s="65">
        <v>6014</v>
      </c>
      <c r="K20" s="62">
        <v>0.45</v>
      </c>
      <c r="L20" s="278" t="str">
        <f>VLOOKUP($J20,[19]Nod!$A$3:$E$985,4,FALSE)</f>
        <v>PRO230</v>
      </c>
      <c r="M20" s="278">
        <f>VLOOKUP($J20,[19]Nod!$A$3:$E$985,5,FALSE)</f>
        <v>1</v>
      </c>
      <c r="O20" s="489"/>
      <c r="P20" s="489"/>
      <c r="Q20" s="520"/>
      <c r="R20" s="520"/>
    </row>
    <row r="21" spans="1:18" ht="15" customHeight="1">
      <c r="A21" s="343" t="s">
        <v>153</v>
      </c>
      <c r="B21" s="344" t="s">
        <v>150</v>
      </c>
      <c r="C21" s="353">
        <v>6014</v>
      </c>
      <c r="D21" s="353">
        <v>27.9</v>
      </c>
      <c r="E21" s="351">
        <v>0</v>
      </c>
      <c r="F21" s="30" t="str">
        <f>IFERROR(VLOOKUP($C21,[19]Nod!$A$3:$E$986,4,FALSE)," ")</f>
        <v>PRO230</v>
      </c>
      <c r="G21" s="30">
        <f>IFERROR(VLOOKUP($C21,[19]Nod!$A$3:$E$986,5,FALSE)," ")</f>
        <v>1</v>
      </c>
      <c r="H21" s="299" t="s">
        <v>31</v>
      </c>
      <c r="I21" s="300"/>
      <c r="J21" s="302"/>
      <c r="K21" s="302"/>
      <c r="L21" s="278"/>
      <c r="M21" s="278"/>
      <c r="O21" s="489"/>
      <c r="P21" s="489"/>
      <c r="Q21" s="520"/>
      <c r="R21" s="520"/>
    </row>
    <row r="22" spans="1:18" ht="15" customHeight="1">
      <c r="A22" s="343" t="s">
        <v>154</v>
      </c>
      <c r="B22" s="344" t="s">
        <v>150</v>
      </c>
      <c r="C22" s="353">
        <v>6014</v>
      </c>
      <c r="D22" s="353">
        <v>10</v>
      </c>
      <c r="E22" s="351">
        <v>0</v>
      </c>
      <c r="F22" s="30" t="str">
        <f>IFERROR(VLOOKUP($C22,[19]Nod!$A$3:$E$986,4,FALSE)," ")</f>
        <v>PRO230</v>
      </c>
      <c r="G22" s="30">
        <f>IFERROR(VLOOKUP($C22,[19]Nod!$A$3:$E$986,5,FALSE)," ")</f>
        <v>1</v>
      </c>
      <c r="H22" s="303">
        <v>2</v>
      </c>
      <c r="I22" s="296"/>
      <c r="J22" s="318"/>
      <c r="K22" s="297">
        <v>0</v>
      </c>
      <c r="L22" s="278"/>
      <c r="M22" s="278"/>
      <c r="O22" s="489"/>
      <c r="P22" s="489"/>
      <c r="Q22" s="520"/>
      <c r="R22" s="520"/>
    </row>
    <row r="23" spans="1:18" ht="15" customHeight="1">
      <c r="A23" s="343" t="s">
        <v>155</v>
      </c>
      <c r="B23" s="344" t="s">
        <v>156</v>
      </c>
      <c r="C23" s="353">
        <v>6014</v>
      </c>
      <c r="D23" s="353">
        <v>10</v>
      </c>
      <c r="E23" s="351">
        <v>0</v>
      </c>
      <c r="F23" s="30" t="str">
        <f>IFERROR(VLOOKUP($C23,[19]Nod!$A$3:$E$986,4,FALSE)," ")</f>
        <v>PRO230</v>
      </c>
      <c r="G23" s="30">
        <f>IFERROR(VLOOKUP($C23,[19]Nod!$A$3:$E$986,5,FALSE)," ")</f>
        <v>1</v>
      </c>
      <c r="H23" s="299" t="s">
        <v>31</v>
      </c>
      <c r="I23" s="300"/>
      <c r="J23" s="302"/>
      <c r="K23" s="302"/>
      <c r="L23" s="278"/>
      <c r="M23" s="278"/>
      <c r="O23" s="489"/>
      <c r="P23" s="489"/>
      <c r="Q23" s="520"/>
      <c r="R23" s="520"/>
    </row>
    <row r="24" spans="1:18" ht="15" customHeight="1">
      <c r="A24" s="343" t="s">
        <v>157</v>
      </c>
      <c r="B24" s="344" t="s">
        <v>156</v>
      </c>
      <c r="C24" s="353">
        <v>6014</v>
      </c>
      <c r="D24" s="353">
        <v>5.5</v>
      </c>
      <c r="E24" s="351">
        <v>0</v>
      </c>
      <c r="F24" s="30" t="str">
        <f>IFERROR(VLOOKUP($C24,[19]Nod!$A$3:$E$986,4,FALSE)," ")</f>
        <v>PRO230</v>
      </c>
      <c r="G24" s="30">
        <f>IFERROR(VLOOKUP($C24,[19]Nod!$A$3:$E$986,5,FALSE)," ")</f>
        <v>1</v>
      </c>
      <c r="H24" s="295">
        <v>3</v>
      </c>
      <c r="I24" s="296"/>
      <c r="J24" s="318"/>
      <c r="K24" s="297">
        <f>SUM(K25:K27)</f>
        <v>0.09</v>
      </c>
      <c r="L24" s="278"/>
      <c r="M24" s="278"/>
      <c r="O24" s="489"/>
      <c r="P24" s="489"/>
      <c r="Q24" s="520"/>
      <c r="R24" s="520"/>
    </row>
    <row r="25" spans="1:18" ht="15" customHeight="1">
      <c r="A25" s="343" t="s">
        <v>158</v>
      </c>
      <c r="B25" s="344" t="s">
        <v>156</v>
      </c>
      <c r="C25" s="353">
        <v>6014</v>
      </c>
      <c r="D25" s="482">
        <v>25</v>
      </c>
      <c r="E25" s="351">
        <v>0</v>
      </c>
      <c r="F25" s="30" t="str">
        <f>IFERROR(VLOOKUP($C25,[19]Nod!$A$3:$E$986,4,FALSE)," ")</f>
        <v>PRO230</v>
      </c>
      <c r="G25" s="30">
        <f>IFERROR(VLOOKUP($C25,[19]Nod!$A$3:$E$986,5,FALSE)," ")</f>
        <v>1</v>
      </c>
      <c r="H25" s="293" t="s">
        <v>28</v>
      </c>
      <c r="I25" s="64"/>
      <c r="J25" s="65"/>
      <c r="K25" s="65"/>
      <c r="L25" s="278"/>
      <c r="M25" s="278"/>
      <c r="O25" s="489"/>
      <c r="P25" s="489"/>
      <c r="Q25" s="520"/>
      <c r="R25" s="520"/>
    </row>
    <row r="26" spans="1:18" ht="15" customHeight="1">
      <c r="A26" s="343" t="s">
        <v>159</v>
      </c>
      <c r="B26" s="344" t="s">
        <v>156</v>
      </c>
      <c r="C26" s="353">
        <v>6014</v>
      </c>
      <c r="D26" s="482">
        <v>25.9</v>
      </c>
      <c r="E26" s="351">
        <v>0</v>
      </c>
      <c r="F26" s="30" t="str">
        <f>IFERROR(VLOOKUP($C26,[19]Nod!$A$3:$E$986,4,FALSE)," ")</f>
        <v>PRO230</v>
      </c>
      <c r="G26" s="30">
        <f>IFERROR(VLOOKUP($C26,[19]Nod!$A$3:$E$986,5,FALSE)," ")</f>
        <v>1</v>
      </c>
      <c r="H26" s="66" t="s">
        <v>32</v>
      </c>
      <c r="I26" s="64"/>
      <c r="J26" s="65">
        <v>6087</v>
      </c>
      <c r="K26" s="62">
        <v>0.09</v>
      </c>
      <c r="L26" s="278" t="str">
        <f>VLOOKUP($J26,[19]Nod!$A$3:$E$985,4,FALSE)</f>
        <v>CAL115</v>
      </c>
      <c r="M26" s="278">
        <f>VLOOKUP($J26,[19]Nod!$A$3:$E$985,5,FALSE)</f>
        <v>3</v>
      </c>
      <c r="O26" s="489"/>
      <c r="P26" s="489"/>
      <c r="Q26" s="520"/>
      <c r="R26" s="520"/>
    </row>
    <row r="27" spans="1:18" ht="15" customHeight="1">
      <c r="A27" s="343" t="s">
        <v>160</v>
      </c>
      <c r="B27" s="344" t="s">
        <v>156</v>
      </c>
      <c r="C27" s="353">
        <v>6014</v>
      </c>
      <c r="D27" s="482">
        <v>10</v>
      </c>
      <c r="E27" s="351">
        <v>0</v>
      </c>
      <c r="F27" s="30" t="str">
        <f>IFERROR(VLOOKUP($C27,[19]Nod!$A$3:$E$986,4,FALSE)," ")</f>
        <v>PRO230</v>
      </c>
      <c r="G27" s="30">
        <f>IFERROR(VLOOKUP($C27,[19]Nod!$A$3:$E$986,5,FALSE)," ")</f>
        <v>1</v>
      </c>
      <c r="H27" s="299" t="s">
        <v>31</v>
      </c>
      <c r="I27" s="300"/>
      <c r="J27" s="302"/>
      <c r="K27" s="302"/>
      <c r="L27" s="278"/>
      <c r="M27" s="278"/>
      <c r="O27" s="489"/>
      <c r="P27" s="489"/>
      <c r="Q27" s="520"/>
      <c r="R27" s="520"/>
    </row>
    <row r="28" spans="1:18" ht="15" customHeight="1">
      <c r="A28" s="343" t="s">
        <v>161</v>
      </c>
      <c r="B28" s="344" t="s">
        <v>156</v>
      </c>
      <c r="C28" s="353">
        <v>6014</v>
      </c>
      <c r="D28" s="482">
        <v>10</v>
      </c>
      <c r="E28" s="351">
        <v>0</v>
      </c>
      <c r="F28" s="30" t="str">
        <f>IFERROR(VLOOKUP($C28,[19]Nod!$A$3:$E$986,4,FALSE)," ")</f>
        <v>PRO230</v>
      </c>
      <c r="G28" s="30">
        <f>IFERROR(VLOOKUP($C28,[19]Nod!$A$3:$E$986,5,FALSE)," ")</f>
        <v>1</v>
      </c>
      <c r="H28" s="295">
        <v>4</v>
      </c>
      <c r="I28" s="296"/>
      <c r="J28" s="318"/>
      <c r="K28" s="297">
        <f>SUM(K29:K32)</f>
        <v>142.41</v>
      </c>
      <c r="L28" s="278"/>
      <c r="M28" s="278"/>
      <c r="O28" s="489"/>
      <c r="P28" s="489"/>
      <c r="Q28" s="520"/>
      <c r="R28" s="520"/>
    </row>
    <row r="29" spans="1:18" ht="15" customHeight="1">
      <c r="A29" s="343" t="s">
        <v>162</v>
      </c>
      <c r="B29" s="344" t="s">
        <v>156</v>
      </c>
      <c r="C29" s="353">
        <v>6014</v>
      </c>
      <c r="D29" s="482">
        <v>10</v>
      </c>
      <c r="E29" s="351">
        <v>0</v>
      </c>
      <c r="F29" s="30" t="str">
        <f>IFERROR(VLOOKUP($C29,[19]Nod!$A$3:$E$986,4,FALSE)," ")</f>
        <v>PRO230</v>
      </c>
      <c r="G29" s="30">
        <f>IFERROR(VLOOKUP($C29,[19]Nod!$A$3:$E$986,5,FALSE)," ")</f>
        <v>1</v>
      </c>
      <c r="H29" s="293" t="s">
        <v>28</v>
      </c>
      <c r="I29" s="64"/>
      <c r="J29" s="65"/>
      <c r="K29" s="65"/>
      <c r="L29" s="278"/>
      <c r="M29" s="278"/>
      <c r="O29" s="489"/>
      <c r="P29" s="489"/>
      <c r="Q29" s="520"/>
      <c r="R29" s="520"/>
    </row>
    <row r="30" spans="1:18" ht="15" customHeight="1">
      <c r="A30" s="343" t="s">
        <v>163</v>
      </c>
      <c r="B30" s="344" t="s">
        <v>156</v>
      </c>
      <c r="C30" s="353">
        <v>6515</v>
      </c>
      <c r="D30" s="482">
        <v>10</v>
      </c>
      <c r="E30" s="351">
        <v>0</v>
      </c>
      <c r="F30" s="30" t="str">
        <f>IFERROR(VLOOKUP($C30,[19]Nod!$A$3:$E$986,4,FALSE)," ")</f>
        <v>PRO2-230</v>
      </c>
      <c r="G30" s="30">
        <f>IFERROR(VLOOKUP($C30,[19]Nod!$A$3:$E$986,5,FALSE)," ")</f>
        <v>1</v>
      </c>
      <c r="H30" s="54" t="s">
        <v>33</v>
      </c>
      <c r="I30" s="64"/>
      <c r="J30" s="65">
        <v>6013</v>
      </c>
      <c r="K30" s="62"/>
      <c r="L30" s="278" t="str">
        <f>VLOOKUP($J30,[19]Nod!$A$3:$E$985,4,FALSE)</f>
        <v>MDN34</v>
      </c>
      <c r="M30" s="278">
        <f>VLOOKUP($J30,[19]Nod!$A$3:$E$985,5,FALSE)</f>
        <v>4</v>
      </c>
      <c r="O30" s="489"/>
      <c r="P30" s="489"/>
      <c r="Q30" s="520"/>
      <c r="R30" s="520"/>
    </row>
    <row r="31" spans="1:18" ht="15" customHeight="1">
      <c r="A31" s="343" t="s">
        <v>164</v>
      </c>
      <c r="B31" s="344" t="s">
        <v>156</v>
      </c>
      <c r="C31" s="353">
        <v>6014</v>
      </c>
      <c r="D31" s="482">
        <v>10</v>
      </c>
      <c r="E31" s="351">
        <v>0</v>
      </c>
      <c r="F31" s="30" t="str">
        <f>IFERROR(VLOOKUP($C31,[19]Nod!$A$3:$E$986,4,FALSE)," ")</f>
        <v>PRO230</v>
      </c>
      <c r="G31" s="30">
        <f>IFERROR(VLOOKUP($C31,[19]Nod!$A$3:$E$986,5,FALSE)," ")</f>
        <v>1</v>
      </c>
      <c r="H31" s="54" t="s">
        <v>34</v>
      </c>
      <c r="I31" s="64"/>
      <c r="J31" s="65">
        <v>6013</v>
      </c>
      <c r="K31" s="322">
        <v>142.41</v>
      </c>
      <c r="L31" s="278" t="str">
        <f>VLOOKUP($J31,[19]Nod!$A$3:$E$985,4,FALSE)</f>
        <v>MDN34</v>
      </c>
      <c r="M31" s="278">
        <f>VLOOKUP($J31,[19]Nod!$A$3:$E$985,5,FALSE)</f>
        <v>4</v>
      </c>
      <c r="O31" s="489"/>
      <c r="P31" s="489"/>
      <c r="Q31" s="520"/>
      <c r="R31" s="520"/>
    </row>
    <row r="32" spans="1:18" ht="15" customHeight="1">
      <c r="A32" s="343" t="s">
        <v>165</v>
      </c>
      <c r="B32" s="344" t="s">
        <v>156</v>
      </c>
      <c r="C32" s="353">
        <v>6014</v>
      </c>
      <c r="D32" s="353">
        <v>19.88</v>
      </c>
      <c r="E32" s="351">
        <v>0</v>
      </c>
      <c r="F32" s="30" t="str">
        <f>IFERROR(VLOOKUP($C32,[19]Nod!$A$3:$E$986,4,FALSE)," ")</f>
        <v>PRO230</v>
      </c>
      <c r="G32" s="30">
        <f>IFERROR(VLOOKUP($C32,[19]Nod!$A$3:$E$986,5,FALSE)," ")</f>
        <v>1</v>
      </c>
      <c r="H32" s="299" t="s">
        <v>31</v>
      </c>
      <c r="I32" s="300"/>
      <c r="J32" s="302"/>
      <c r="K32" s="304"/>
      <c r="L32" s="278"/>
      <c r="M32" s="278"/>
      <c r="O32" s="489"/>
      <c r="P32" s="489"/>
      <c r="Q32" s="520"/>
      <c r="R32" s="520"/>
    </row>
    <row r="33" spans="1:18" ht="15" customHeight="1">
      <c r="A33" s="343" t="s">
        <v>166</v>
      </c>
      <c r="B33" s="344" t="s">
        <v>156</v>
      </c>
      <c r="C33" s="353">
        <v>6014</v>
      </c>
      <c r="D33" s="482">
        <v>17.600000000000001</v>
      </c>
      <c r="E33" s="351">
        <v>0</v>
      </c>
      <c r="F33" s="30" t="str">
        <f>IFERROR(VLOOKUP($C33,[19]Nod!$A$3:$E$986,4,FALSE)," ")</f>
        <v>PRO230</v>
      </c>
      <c r="G33" s="30">
        <f>IFERROR(VLOOKUP($C33,[19]Nod!$A$3:$E$986,5,FALSE)," ")</f>
        <v>1</v>
      </c>
      <c r="H33" s="305">
        <v>5</v>
      </c>
      <c r="I33" s="306"/>
      <c r="J33" s="317"/>
      <c r="K33" s="307">
        <f>SUM(K34:K42)</f>
        <v>224.80253899660923</v>
      </c>
      <c r="L33" s="278"/>
      <c r="M33" s="278"/>
      <c r="O33" s="489"/>
      <c r="P33" s="489"/>
      <c r="Q33" s="520"/>
      <c r="R33" s="520"/>
    </row>
    <row r="34" spans="1:18" ht="15" customHeight="1">
      <c r="A34" s="348" t="s">
        <v>321</v>
      </c>
      <c r="B34" s="344" t="s">
        <v>156</v>
      </c>
      <c r="C34" s="353">
        <v>6014</v>
      </c>
      <c r="D34" s="482">
        <v>10</v>
      </c>
      <c r="E34" s="351">
        <v>0</v>
      </c>
      <c r="F34" s="30" t="str">
        <f>IFERROR(VLOOKUP($C34,[19]Nod!$A$3:$E$986,4,FALSE)," ")</f>
        <v>PRO230</v>
      </c>
      <c r="G34" s="30">
        <f>IFERROR(VLOOKUP($C34,[19]Nod!$A$3:$E$986,5,FALSE)," ")</f>
        <v>1</v>
      </c>
      <c r="H34" s="293" t="s">
        <v>35</v>
      </c>
      <c r="I34" s="64"/>
      <c r="J34" s="65"/>
      <c r="K34" s="308"/>
      <c r="L34" s="278"/>
      <c r="M34" s="278"/>
      <c r="O34" s="489"/>
      <c r="P34" s="489"/>
      <c r="Q34" s="520"/>
      <c r="R34" s="520"/>
    </row>
    <row r="35" spans="1:18" ht="15" customHeight="1">
      <c r="A35" s="348" t="s">
        <v>322</v>
      </c>
      <c r="B35" s="344" t="s">
        <v>156</v>
      </c>
      <c r="C35" s="353">
        <v>6014</v>
      </c>
      <c r="D35" s="482">
        <v>5</v>
      </c>
      <c r="E35" s="351">
        <v>0</v>
      </c>
      <c r="F35" s="30" t="str">
        <f>IFERROR(VLOOKUP($C35,[19]Nod!$A$3:$E$986,4,FALSE)," ")</f>
        <v>PRO230</v>
      </c>
      <c r="G35" s="30">
        <f>IFERROR(VLOOKUP($C35,[19]Nod!$A$3:$E$986,5,FALSE)," ")</f>
        <v>1</v>
      </c>
      <c r="H35" s="309" t="s">
        <v>167</v>
      </c>
      <c r="I35" s="64"/>
      <c r="J35" s="65">
        <v>6460</v>
      </c>
      <c r="K35" s="62">
        <v>201.02</v>
      </c>
      <c r="L35" s="278" t="str">
        <f>VLOOKUP($J35,[19]Nod!$A$3:$E$985,4,FALSE)</f>
        <v>ECO230</v>
      </c>
      <c r="M35" s="278">
        <f>VLOOKUP($J35,[19]Nod!$A$3:$E$985,5,FALSE)</f>
        <v>5</v>
      </c>
      <c r="O35" s="489"/>
      <c r="P35" s="489"/>
      <c r="Q35" s="520"/>
      <c r="R35" s="520"/>
    </row>
    <row r="36" spans="1:18" ht="15" customHeight="1">
      <c r="A36" s="47" t="s">
        <v>31</v>
      </c>
      <c r="B36" s="3"/>
      <c r="C36" s="38"/>
      <c r="D36" s="302"/>
      <c r="E36" s="298"/>
      <c r="F36" s="30" t="str">
        <f>IFERROR(VLOOKUP($C36,[19]Nod!$A$3:$E$986,4,FALSE)," ")</f>
        <v xml:space="preserve"> </v>
      </c>
      <c r="G36" s="30" t="str">
        <f>IFERROR(VLOOKUP($C36,[19]Nod!$A$3:$E$986,5,FALSE)," ")</f>
        <v xml:space="preserve"> </v>
      </c>
      <c r="H36" s="293" t="s">
        <v>36</v>
      </c>
      <c r="I36" s="64"/>
      <c r="J36" s="65"/>
      <c r="K36" s="65"/>
      <c r="L36" s="278"/>
      <c r="M36" s="278"/>
      <c r="O36" s="489"/>
      <c r="P36" s="489"/>
      <c r="Q36" s="520"/>
      <c r="R36" s="520"/>
    </row>
    <row r="37" spans="1:18" ht="15" customHeight="1">
      <c r="A37" s="48">
        <v>2</v>
      </c>
      <c r="B37" s="42"/>
      <c r="C37" s="43"/>
      <c r="D37" s="297">
        <f>SUM(D38:D43)</f>
        <v>548.68000000000006</v>
      </c>
      <c r="E37" s="294"/>
      <c r="F37" s="30" t="str">
        <f>IFERROR(VLOOKUP($C37,[19]Nod!$A$3:$E$986,4,FALSE)," ")</f>
        <v xml:space="preserve"> </v>
      </c>
      <c r="G37" s="30" t="str">
        <f>IFERROR(VLOOKUP($C37,[19]Nod!$A$3:$E$986,5,FALSE)," ")</f>
        <v xml:space="preserve"> </v>
      </c>
      <c r="H37" s="66" t="s">
        <v>37</v>
      </c>
      <c r="I37" s="64"/>
      <c r="J37" s="65">
        <v>6460</v>
      </c>
      <c r="K37" s="62">
        <v>0.94</v>
      </c>
      <c r="L37" s="278" t="str">
        <f>VLOOKUP($J37,[19]Nod!$A$3:$E$985,4,FALSE)</f>
        <v>ECO230</v>
      </c>
      <c r="M37" s="278">
        <f>VLOOKUP($J37,[19]Nod!$A$3:$E$985,5,FALSE)</f>
        <v>5</v>
      </c>
      <c r="O37" s="489"/>
      <c r="P37" s="489"/>
      <c r="Q37" s="520"/>
      <c r="R37" s="520"/>
    </row>
    <row r="38" spans="1:18" ht="15" customHeight="1">
      <c r="A38" s="343" t="s">
        <v>168</v>
      </c>
      <c r="B38" s="344" t="s">
        <v>150</v>
      </c>
      <c r="C38" s="349">
        <v>6096</v>
      </c>
      <c r="D38" s="482">
        <v>300</v>
      </c>
      <c r="E38" s="351">
        <v>0</v>
      </c>
      <c r="F38" s="30" t="str">
        <f>IFERROR(VLOOKUP($C38,[19]Nod!$A$3:$E$986,4,FALSE)," ")</f>
        <v>FOR230</v>
      </c>
      <c r="G38" s="30">
        <f>IFERROR(VLOOKUP($C38,[19]Nod!$A$3:$E$986,5,FALSE)," ")</f>
        <v>2</v>
      </c>
      <c r="H38" s="66" t="s">
        <v>38</v>
      </c>
      <c r="I38" s="64"/>
      <c r="J38" s="65"/>
      <c r="K38" s="62"/>
      <c r="L38" s="278"/>
      <c r="M38" s="278"/>
      <c r="O38" s="489"/>
      <c r="P38" s="489"/>
      <c r="Q38" s="520"/>
      <c r="R38" s="520"/>
    </row>
    <row r="39" spans="1:18" ht="15" customHeight="1">
      <c r="A39" s="343" t="s">
        <v>169</v>
      </c>
      <c r="B39" s="344" t="s">
        <v>150</v>
      </c>
      <c r="C39" s="349">
        <v>6179</v>
      </c>
      <c r="D39" s="482">
        <v>120</v>
      </c>
      <c r="E39" s="351">
        <v>0</v>
      </c>
      <c r="F39" s="30" t="str">
        <f>IFERROR(VLOOKUP($C39,[19]Nod!$A$3:$E$986,4,FALSE)," ")</f>
        <v>GUA230</v>
      </c>
      <c r="G39" s="30">
        <f>IFERROR(VLOOKUP($C39,[19]Nod!$A$3:$E$986,5,FALSE)," ")</f>
        <v>2</v>
      </c>
      <c r="H39" s="66" t="s">
        <v>39</v>
      </c>
      <c r="I39" s="64"/>
      <c r="J39" s="65">
        <v>6460</v>
      </c>
      <c r="K39" s="62">
        <v>0.84253899660921205</v>
      </c>
      <c r="L39" s="278" t="str">
        <f>VLOOKUP($J39,[19]Nod!$A$3:$E$985,4,FALSE)</f>
        <v>ECO230</v>
      </c>
      <c r="M39" s="278">
        <f>VLOOKUP($J39,[19]Nod!$A$3:$E$985,5,FALSE)</f>
        <v>5</v>
      </c>
      <c r="O39" s="489"/>
      <c r="P39" s="489"/>
      <c r="Q39" s="520"/>
      <c r="R39" s="520"/>
    </row>
    <row r="40" spans="1:18" ht="15" customHeight="1">
      <c r="A40" s="343" t="s">
        <v>170</v>
      </c>
      <c r="B40" s="344" t="s">
        <v>150</v>
      </c>
      <c r="C40" s="349">
        <v>6179</v>
      </c>
      <c r="D40" s="482">
        <v>35</v>
      </c>
      <c r="E40" s="351">
        <v>0</v>
      </c>
      <c r="F40" s="30" t="str">
        <f>IFERROR(VLOOKUP($C40,[19]Nod!$A$3:$E$986,4,FALSE)," ")</f>
        <v>GUA230</v>
      </c>
      <c r="G40" s="30">
        <f>IFERROR(VLOOKUP($C40,[19]Nod!$A$3:$E$986,5,FALSE)," ")</f>
        <v>2</v>
      </c>
      <c r="H40" s="329" t="s">
        <v>40</v>
      </c>
      <c r="I40" s="64"/>
      <c r="J40" s="65"/>
      <c r="K40" s="65"/>
      <c r="L40" s="278"/>
      <c r="M40" s="278"/>
      <c r="O40" s="489"/>
      <c r="P40" s="489"/>
      <c r="Q40" s="520"/>
      <c r="R40" s="520"/>
    </row>
    <row r="41" spans="1:18" ht="15" customHeight="1">
      <c r="A41" s="343" t="s">
        <v>171</v>
      </c>
      <c r="B41" s="344" t="s">
        <v>150</v>
      </c>
      <c r="C41" s="349">
        <v>6179</v>
      </c>
      <c r="D41" s="482">
        <v>58.69</v>
      </c>
      <c r="E41" s="351">
        <v>0</v>
      </c>
      <c r="F41" s="30" t="str">
        <f>IFERROR(VLOOKUP($C41,[19]Nod!$A$3:$E$986,4,FALSE)," ")</f>
        <v>GUA230</v>
      </c>
      <c r="G41" s="30">
        <f>IFERROR(VLOOKUP($C41,[19]Nod!$A$3:$E$986,5,FALSE)," ")</f>
        <v>2</v>
      </c>
      <c r="H41" s="66" t="s">
        <v>41</v>
      </c>
      <c r="I41" s="64"/>
      <c r="J41" s="65">
        <v>6460</v>
      </c>
      <c r="K41" s="62">
        <v>22</v>
      </c>
      <c r="L41" s="278" t="str">
        <f>VLOOKUP($J41,[19]Nod!$A$3:$E$985,4,FALSE)</f>
        <v>ECO230</v>
      </c>
      <c r="M41" s="278">
        <f>VLOOKUP($J41,[19]Nod!$A$3:$E$985,5,FALSE)</f>
        <v>5</v>
      </c>
      <c r="O41" s="489"/>
      <c r="P41" s="489"/>
      <c r="Q41" s="520"/>
      <c r="R41" s="520"/>
    </row>
    <row r="42" spans="1:18" ht="15" customHeight="1">
      <c r="A42" s="343" t="s">
        <v>172</v>
      </c>
      <c r="B42" s="344" t="s">
        <v>156</v>
      </c>
      <c r="C42" s="349">
        <v>6179</v>
      </c>
      <c r="D42" s="482">
        <v>9.69</v>
      </c>
      <c r="E42" s="351">
        <v>0</v>
      </c>
      <c r="F42" s="30" t="str">
        <f>IFERROR(VLOOKUP($C42,[19]Nod!$A$3:$E$986,4,FALSE)," ")</f>
        <v>GUA230</v>
      </c>
      <c r="G42" s="30">
        <f>IFERROR(VLOOKUP($C42,[19]Nod!$A$3:$E$986,5,FALSE)," ")</f>
        <v>2</v>
      </c>
      <c r="H42" s="311" t="s">
        <v>31</v>
      </c>
      <c r="I42" s="64"/>
      <c r="J42" s="65"/>
      <c r="K42" s="65"/>
      <c r="L42" s="278"/>
      <c r="M42" s="278"/>
      <c r="O42" s="489"/>
      <c r="P42" s="489"/>
      <c r="Q42" s="520"/>
      <c r="R42" s="520"/>
    </row>
    <row r="43" spans="1:18" ht="15" customHeight="1">
      <c r="A43" s="343" t="s">
        <v>323</v>
      </c>
      <c r="B43" s="344" t="s">
        <v>156</v>
      </c>
      <c r="C43" s="349">
        <v>6179</v>
      </c>
      <c r="D43" s="482">
        <v>25.3</v>
      </c>
      <c r="E43" s="351">
        <v>0</v>
      </c>
      <c r="F43" s="30" t="str">
        <f>IFERROR(VLOOKUP($C43,[19]Nod!$A$3:$E$986,4,FALSE)," ")</f>
        <v>GUA230</v>
      </c>
      <c r="G43" s="30">
        <f>IFERROR(VLOOKUP($C43,[19]Nod!$A$3:$E$986,5,FALSE)," ")</f>
        <v>2</v>
      </c>
      <c r="H43" s="303">
        <v>6</v>
      </c>
      <c r="I43" s="296"/>
      <c r="J43" s="318"/>
      <c r="K43" s="297">
        <f>SUM(K44:K50)</f>
        <v>286.99</v>
      </c>
      <c r="L43" s="278"/>
      <c r="M43" s="278"/>
      <c r="O43" s="489"/>
      <c r="P43" s="489"/>
      <c r="Q43" s="520"/>
      <c r="R43" s="520"/>
    </row>
    <row r="44" spans="1:18" ht="15" customHeight="1">
      <c r="A44" s="50" t="s">
        <v>31</v>
      </c>
      <c r="B44" s="40"/>
      <c r="C44" s="41"/>
      <c r="D44" s="302"/>
      <c r="E44" s="310"/>
      <c r="F44" s="30" t="str">
        <f>IFERROR(VLOOKUP($C44,[19]Nod!$A$3:$E$986,4,FALSE)," ")</f>
        <v xml:space="preserve"> </v>
      </c>
      <c r="G44" s="30" t="str">
        <f>IFERROR(VLOOKUP($C44,[19]Nod!$A$3:$E$986,5,FALSE)," ")</f>
        <v xml:space="preserve"> </v>
      </c>
      <c r="H44" s="293" t="s">
        <v>35</v>
      </c>
      <c r="I44" s="64"/>
      <c r="J44" s="65"/>
      <c r="K44" s="65"/>
      <c r="L44" s="278"/>
      <c r="M44" s="278"/>
      <c r="O44" s="489"/>
      <c r="P44" s="489"/>
      <c r="Q44" s="520"/>
      <c r="R44" s="520"/>
    </row>
    <row r="45" spans="1:18" ht="15" customHeight="1">
      <c r="A45" s="32">
        <v>3</v>
      </c>
      <c r="B45" s="33"/>
      <c r="C45" s="34"/>
      <c r="D45" s="297">
        <f>SUM(D46:D56)</f>
        <v>194.10000000000005</v>
      </c>
      <c r="E45" s="312"/>
      <c r="F45" s="30" t="str">
        <f>IFERROR(VLOOKUP($C45,[19]Nod!$A$3:$E$986,4,FALSE)," ")</f>
        <v xml:space="preserve"> </v>
      </c>
      <c r="G45" s="30" t="str">
        <f>IFERROR(VLOOKUP($C45,[19]Nod!$A$3:$E$986,5,FALSE)," ")</f>
        <v xml:space="preserve"> </v>
      </c>
      <c r="H45" s="309" t="s">
        <v>173</v>
      </c>
      <c r="I45" s="64"/>
      <c r="J45" s="65">
        <v>6240</v>
      </c>
      <c r="K45" s="65">
        <v>61.26</v>
      </c>
      <c r="L45" s="278" t="str">
        <f>VLOOKUP($J45,[19]Nod!$A$3:$E$985,4,FALSE)</f>
        <v>EHIG230</v>
      </c>
      <c r="M45" s="278">
        <f>VLOOKUP($J45,[19]Nod!$A$3:$E$985,5,FALSE)</f>
        <v>6</v>
      </c>
      <c r="O45" s="489"/>
      <c r="P45" s="489"/>
      <c r="Q45" s="520"/>
      <c r="R45" s="520"/>
    </row>
    <row r="46" spans="1:18" ht="15" customHeight="1">
      <c r="A46" s="343" t="s">
        <v>174</v>
      </c>
      <c r="B46" s="344" t="s">
        <v>150</v>
      </c>
      <c r="C46" s="349">
        <v>6087</v>
      </c>
      <c r="D46" s="353">
        <v>47.2</v>
      </c>
      <c r="E46" s="351">
        <v>0</v>
      </c>
      <c r="F46" s="30" t="str">
        <f>IFERROR(VLOOKUP($C46,[19]Nod!$A$3:$E$986,4,FALSE)," ")</f>
        <v>CAL115</v>
      </c>
      <c r="G46" s="30">
        <f>IFERROR(VLOOKUP($C46,[19]Nod!$A$3:$E$986,5,FALSE)," ")</f>
        <v>3</v>
      </c>
      <c r="H46" s="66" t="s">
        <v>42</v>
      </c>
      <c r="I46" s="64"/>
      <c r="J46" s="65">
        <v>6005</v>
      </c>
      <c r="K46" s="62">
        <v>225.08</v>
      </c>
      <c r="L46" s="278" t="str">
        <f>VLOOKUP($J46,[19]Nod!$A$3:$E$985,4,FALSE)</f>
        <v>CHO230</v>
      </c>
      <c r="M46" s="278">
        <f>VLOOKUP($J46,[19]Nod!$A$3:$E$985,5,FALSE)</f>
        <v>6</v>
      </c>
      <c r="O46" s="489"/>
      <c r="P46" s="489"/>
      <c r="Q46" s="520"/>
      <c r="R46" s="520"/>
    </row>
    <row r="47" spans="1:18" ht="15" customHeight="1">
      <c r="A47" s="343" t="s">
        <v>175</v>
      </c>
      <c r="B47" s="344" t="s">
        <v>150</v>
      </c>
      <c r="C47" s="349">
        <v>6087</v>
      </c>
      <c r="D47" s="353">
        <v>54.8</v>
      </c>
      <c r="E47" s="351">
        <v>0</v>
      </c>
      <c r="F47" s="30" t="str">
        <f>IFERROR(VLOOKUP($C47,[19]Nod!$A$3:$E$986,4,FALSE)," ")</f>
        <v>CAL115</v>
      </c>
      <c r="G47" s="30">
        <f>IFERROR(VLOOKUP($C47,[19]Nod!$A$3:$E$986,5,FALSE)," ")</f>
        <v>3</v>
      </c>
      <c r="H47" s="293" t="s">
        <v>36</v>
      </c>
      <c r="I47" s="64"/>
      <c r="J47" s="65"/>
      <c r="K47" s="65"/>
      <c r="L47" s="278"/>
      <c r="M47" s="278"/>
      <c r="O47" s="489"/>
      <c r="P47" s="489"/>
      <c r="Q47" s="520"/>
      <c r="R47" s="520"/>
    </row>
    <row r="48" spans="1:18" ht="15" customHeight="1">
      <c r="A48" s="343" t="s">
        <v>176</v>
      </c>
      <c r="B48" s="344" t="s">
        <v>150</v>
      </c>
      <c r="C48" s="349">
        <v>6087</v>
      </c>
      <c r="D48" s="353">
        <v>19.75</v>
      </c>
      <c r="E48" s="351">
        <v>0</v>
      </c>
      <c r="F48" s="30" t="str">
        <f>IFERROR(VLOOKUP($C48,[19]Nod!$A$3:$E$986,4,FALSE)," ")</f>
        <v>CAL115</v>
      </c>
      <c r="G48" s="30">
        <f>IFERROR(VLOOKUP($C48,[19]Nod!$A$3:$E$986,5,FALSE)," ")</f>
        <v>3</v>
      </c>
      <c r="H48" s="66" t="s">
        <v>37</v>
      </c>
      <c r="I48" s="64"/>
      <c r="J48" s="65">
        <v>6005</v>
      </c>
      <c r="K48" s="62">
        <v>0.32</v>
      </c>
      <c r="L48" s="278" t="str">
        <f>VLOOKUP($J48,[19]Nod!$A$3:$E$985,4,FALSE)</f>
        <v>CHO230</v>
      </c>
      <c r="M48" s="278">
        <f>VLOOKUP($J48,[19]Nod!$A$3:$E$985,5,FALSE)</f>
        <v>6</v>
      </c>
      <c r="O48" s="489"/>
      <c r="P48" s="489"/>
      <c r="Q48" s="520"/>
      <c r="R48" s="520"/>
    </row>
    <row r="49" spans="1:18" ht="15" customHeight="1">
      <c r="A49" s="343" t="s">
        <v>177</v>
      </c>
      <c r="B49" s="344" t="s">
        <v>150</v>
      </c>
      <c r="C49" s="349">
        <v>6087</v>
      </c>
      <c r="D49" s="353">
        <v>15.5</v>
      </c>
      <c r="E49" s="351">
        <v>0</v>
      </c>
      <c r="F49" s="30" t="str">
        <f>IFERROR(VLOOKUP($C49,[19]Nod!$A$3:$E$986,4,FALSE)," ")</f>
        <v>CAL115</v>
      </c>
      <c r="G49" s="30">
        <f>IFERROR(VLOOKUP($C49,[19]Nod!$A$3:$E$986,5,FALSE)," ")</f>
        <v>3</v>
      </c>
      <c r="H49" s="66" t="s">
        <v>43</v>
      </c>
      <c r="I49" s="64"/>
      <c r="J49" s="65">
        <v>6005</v>
      </c>
      <c r="K49" s="62">
        <v>0.33</v>
      </c>
      <c r="L49" s="278" t="str">
        <f>VLOOKUP($J49,[19]Nod!$A$3:$E$985,4,FALSE)</f>
        <v>CHO230</v>
      </c>
      <c r="M49" s="278">
        <f>VLOOKUP($J49,[19]Nod!$A$3:$E$985,5,FALSE)</f>
        <v>6</v>
      </c>
      <c r="O49" s="489"/>
      <c r="P49" s="489"/>
      <c r="Q49" s="520"/>
      <c r="R49" s="520"/>
    </row>
    <row r="50" spans="1:18" ht="15" customHeight="1">
      <c r="A50" s="343" t="s">
        <v>178</v>
      </c>
      <c r="B50" s="344" t="s">
        <v>150</v>
      </c>
      <c r="C50" s="349">
        <v>6087</v>
      </c>
      <c r="D50" s="353">
        <v>9.73</v>
      </c>
      <c r="E50" s="351">
        <v>0</v>
      </c>
      <c r="F50" s="30" t="str">
        <f>IFERROR(VLOOKUP($C50,[19]Nod!$A$3:$E$986,4,FALSE)," ")</f>
        <v>CAL115</v>
      </c>
      <c r="G50" s="30">
        <f>IFERROR(VLOOKUP($C50,[19]Nod!$A$3:$E$986,5,FALSE)," ")</f>
        <v>3</v>
      </c>
      <c r="H50" s="299" t="s">
        <v>31</v>
      </c>
      <c r="I50" s="300"/>
      <c r="J50" s="302"/>
      <c r="K50" s="302"/>
      <c r="L50" s="278"/>
      <c r="M50" s="278"/>
      <c r="O50" s="489"/>
      <c r="P50" s="489"/>
      <c r="Q50" s="520"/>
      <c r="R50" s="520"/>
    </row>
    <row r="51" spans="1:18" ht="15" customHeight="1">
      <c r="A51" s="346" t="s">
        <v>179</v>
      </c>
      <c r="B51" s="344" t="s">
        <v>150</v>
      </c>
      <c r="C51" s="349">
        <v>6087</v>
      </c>
      <c r="D51" s="353">
        <v>7.8</v>
      </c>
      <c r="E51" s="351">
        <v>0</v>
      </c>
      <c r="F51" s="30" t="str">
        <f>IFERROR(VLOOKUP($C51,[19]Nod!$A$3:$E$986,4,FALSE)," ")</f>
        <v>CAL115</v>
      </c>
      <c r="G51" s="30">
        <f>IFERROR(VLOOKUP($C51,[19]Nod!$A$3:$E$986,5,FALSE)," ")</f>
        <v>3</v>
      </c>
      <c r="H51" s="303">
        <v>7</v>
      </c>
      <c r="I51" s="296"/>
      <c r="J51" s="318"/>
      <c r="K51" s="297">
        <f>SUM(K52:K69)</f>
        <v>1066.42</v>
      </c>
      <c r="L51" s="278"/>
      <c r="M51" s="278"/>
      <c r="O51" s="489"/>
      <c r="P51" s="489"/>
      <c r="Q51" s="520"/>
      <c r="R51" s="520"/>
    </row>
    <row r="52" spans="1:18" ht="15" customHeight="1">
      <c r="A52" s="346" t="s">
        <v>324</v>
      </c>
      <c r="B52" s="344" t="s">
        <v>156</v>
      </c>
      <c r="C52" s="349">
        <v>6087</v>
      </c>
      <c r="D52" s="521">
        <v>5</v>
      </c>
      <c r="E52" s="351">
        <v>0</v>
      </c>
      <c r="F52" s="30" t="str">
        <f>IFERROR(VLOOKUP($C52,[19]Nod!$A$3:$E$986,4,FALSE)," ")</f>
        <v>CAL115</v>
      </c>
      <c r="G52" s="30">
        <f>IFERROR(VLOOKUP($C52,[19]Nod!$A$3:$E$986,5,FALSE)," ")</f>
        <v>3</v>
      </c>
      <c r="H52" s="293" t="s">
        <v>35</v>
      </c>
      <c r="I52" s="64"/>
      <c r="J52" s="65"/>
      <c r="K52" s="65"/>
      <c r="L52" s="278"/>
      <c r="M52" s="278"/>
      <c r="O52" s="489"/>
      <c r="P52" s="489"/>
      <c r="Q52" s="520"/>
      <c r="R52" s="520"/>
    </row>
    <row r="53" spans="1:18" ht="15" customHeight="1">
      <c r="A53" s="346" t="s">
        <v>325</v>
      </c>
      <c r="B53" s="344" t="s">
        <v>156</v>
      </c>
      <c r="C53" s="349">
        <v>6087</v>
      </c>
      <c r="D53" s="353">
        <v>8.58</v>
      </c>
      <c r="E53" s="351">
        <v>0</v>
      </c>
      <c r="F53" s="30" t="str">
        <f>IFERROR(VLOOKUP($C53,[19]Nod!$A$3:$E$986,4,FALSE)," ")</f>
        <v>CAL115</v>
      </c>
      <c r="G53" s="30">
        <f>IFERROR(VLOOKUP($C53,[19]Nod!$A$3:$E$986,5,FALSE)," ")</f>
        <v>3</v>
      </c>
      <c r="H53" s="54" t="s">
        <v>45</v>
      </c>
      <c r="I53" s="64"/>
      <c r="J53" s="65">
        <v>6002</v>
      </c>
      <c r="K53" s="62">
        <v>509.34</v>
      </c>
      <c r="L53" s="278" t="str">
        <f>VLOOKUP($J53,[19]Nod!$A$3:$E$985,4,FALSE)</f>
        <v>PAN115</v>
      </c>
      <c r="M53" s="278">
        <f>VLOOKUP($J53,[19]Nod!$A$3:$E$985,5,FALSE)</f>
        <v>7</v>
      </c>
      <c r="O53" s="489"/>
      <c r="P53" s="489"/>
      <c r="Q53" s="520"/>
      <c r="R53" s="520"/>
    </row>
    <row r="54" spans="1:18" ht="15" customHeight="1">
      <c r="A54" s="346" t="s">
        <v>180</v>
      </c>
      <c r="B54" s="344" t="s">
        <v>156</v>
      </c>
      <c r="C54" s="349">
        <v>6087</v>
      </c>
      <c r="D54" s="353">
        <v>8.58</v>
      </c>
      <c r="E54" s="351">
        <v>0</v>
      </c>
      <c r="F54" s="30" t="str">
        <f>IFERROR(VLOOKUP($C54,[19]Nod!$A$3:$E$986,4,FALSE)," ")</f>
        <v>CAL115</v>
      </c>
      <c r="G54" s="30">
        <f>IFERROR(VLOOKUP($C54,[19]Nod!$A$3:$E$986,5,FALSE)," ")</f>
        <v>3</v>
      </c>
      <c r="H54" s="327" t="s">
        <v>140</v>
      </c>
      <c r="I54" s="64"/>
      <c r="J54" s="65"/>
      <c r="K54" s="62"/>
      <c r="L54" s="278"/>
      <c r="M54" s="278"/>
      <c r="O54" s="489"/>
      <c r="P54" s="489"/>
      <c r="Q54" s="520"/>
      <c r="R54" s="520"/>
    </row>
    <row r="55" spans="1:18" ht="15" customHeight="1">
      <c r="A55" s="346" t="s">
        <v>181</v>
      </c>
      <c r="B55" s="344" t="s">
        <v>156</v>
      </c>
      <c r="C55" s="349">
        <v>6087</v>
      </c>
      <c r="D55" s="353">
        <v>8.58</v>
      </c>
      <c r="E55" s="351">
        <v>0</v>
      </c>
      <c r="F55" s="30" t="str">
        <f>IFERROR(VLOOKUP($C55,[19]Nod!$A$3:$E$986,4,FALSE)," ")</f>
        <v>CAL115</v>
      </c>
      <c r="G55" s="30">
        <f>IFERROR(VLOOKUP($C55,[19]Nod!$A$3:$E$986,5,FALSE)," ")</f>
        <v>3</v>
      </c>
      <c r="H55" s="54" t="s">
        <v>49</v>
      </c>
      <c r="I55" s="64"/>
      <c r="J55" s="65">
        <v>6002</v>
      </c>
      <c r="K55" s="62">
        <v>0.37</v>
      </c>
      <c r="L55" s="278" t="str">
        <f>VLOOKUP($J55,[19]Nod!$A$3:$E$985,4,FALSE)</f>
        <v>PAN115</v>
      </c>
      <c r="M55" s="278">
        <f>VLOOKUP($J55,[19]Nod!$A$3:$E$985,5,FALSE)</f>
        <v>7</v>
      </c>
      <c r="O55" s="489"/>
      <c r="P55" s="489"/>
      <c r="Q55" s="520"/>
      <c r="R55" s="520"/>
    </row>
    <row r="56" spans="1:18" ht="15" customHeight="1">
      <c r="A56" s="347" t="s">
        <v>182</v>
      </c>
      <c r="B56" s="344" t="s">
        <v>156</v>
      </c>
      <c r="C56" s="349">
        <v>6087</v>
      </c>
      <c r="D56" s="353">
        <v>8.58</v>
      </c>
      <c r="E56" s="351">
        <v>0</v>
      </c>
      <c r="F56" s="30" t="str">
        <f>IFERROR(VLOOKUP($C56,[19]Nod!$A$3:$E$986,4,FALSE)," ")</f>
        <v>CAL115</v>
      </c>
      <c r="G56" s="30">
        <f>IFERROR(VLOOKUP($C56,[19]Nod!$A$3:$E$986,5,FALSE)," ")</f>
        <v>3</v>
      </c>
      <c r="H56" s="54" t="s">
        <v>143</v>
      </c>
      <c r="I56" s="64"/>
      <c r="J56" s="65">
        <v>6002</v>
      </c>
      <c r="K56" s="62">
        <v>1.21</v>
      </c>
      <c r="L56" s="278" t="str">
        <f>VLOOKUP($J56,[19]Nod!$A$3:$E$985,4,FALSE)</f>
        <v>PAN115</v>
      </c>
      <c r="M56" s="278">
        <f>VLOOKUP($J56,[19]Nod!$A$3:$E$985,5,FALSE)</f>
        <v>7</v>
      </c>
      <c r="O56" s="489"/>
      <c r="P56" s="489"/>
      <c r="Q56" s="520"/>
      <c r="R56" s="520"/>
    </row>
    <row r="57" spans="1:18" ht="15" customHeight="1">
      <c r="A57" s="50" t="s">
        <v>31</v>
      </c>
      <c r="B57" s="40"/>
      <c r="C57" s="41"/>
      <c r="D57" s="302"/>
      <c r="E57" s="310"/>
      <c r="F57" s="30"/>
      <c r="G57" s="30"/>
      <c r="H57" s="54" t="s">
        <v>51</v>
      </c>
      <c r="I57" s="64"/>
      <c r="J57" s="65">
        <v>6002</v>
      </c>
      <c r="K57" s="62">
        <v>0.32</v>
      </c>
      <c r="L57" s="278" t="str">
        <f>VLOOKUP($J57,[19]Nod!$A$3:$E$985,4,FALSE)</f>
        <v>PAN115</v>
      </c>
      <c r="M57" s="278">
        <f>VLOOKUP($J57,[19]Nod!$A$3:$E$985,5,FALSE)</f>
        <v>7</v>
      </c>
      <c r="O57" s="489"/>
      <c r="P57" s="489"/>
      <c r="Q57" s="520"/>
      <c r="R57" s="520"/>
    </row>
    <row r="58" spans="1:18" ht="15" customHeight="1">
      <c r="A58" s="45">
        <v>4</v>
      </c>
      <c r="B58" s="42"/>
      <c r="C58" s="43"/>
      <c r="D58" s="297">
        <f>SUM(D59:D115)</f>
        <v>794.84999999999968</v>
      </c>
      <c r="E58" s="294"/>
      <c r="F58" s="30" t="str">
        <f>IFERROR(VLOOKUP($C58,[19]Nod!$A$3:$E$986,4,FALSE)," ")</f>
        <v xml:space="preserve"> </v>
      </c>
      <c r="G58" s="30" t="str">
        <f>IFERROR(VLOOKUP($C58,[19]Nod!$A$3:$E$986,5,FALSE)," ")</f>
        <v xml:space="preserve"> </v>
      </c>
      <c r="H58" s="54" t="s">
        <v>52</v>
      </c>
      <c r="I58" s="64"/>
      <c r="J58" s="65">
        <v>6002</v>
      </c>
      <c r="K58" s="62"/>
      <c r="L58" s="278" t="str">
        <f>VLOOKUP($J58,[19]Nod!$A$3:$E$985,4,FALSE)</f>
        <v>PAN115</v>
      </c>
      <c r="M58" s="278">
        <f>VLOOKUP($J58,[19]Nod!$A$3:$E$985,5,FALSE)</f>
        <v>7</v>
      </c>
      <c r="O58" s="489"/>
      <c r="P58" s="489"/>
      <c r="Q58" s="520"/>
      <c r="R58" s="520"/>
    </row>
    <row r="59" spans="1:18" ht="15" customHeight="1">
      <c r="A59" s="343" t="s">
        <v>183</v>
      </c>
      <c r="B59" s="344" t="s">
        <v>150</v>
      </c>
      <c r="C59" s="349">
        <v>6380</v>
      </c>
      <c r="D59" s="353">
        <v>10</v>
      </c>
      <c r="E59" s="351">
        <v>0</v>
      </c>
      <c r="F59" s="30" t="str">
        <f>IFERROR(VLOOKUP($C59,[19]Nod!$A$3:$E$986,4,FALSE)," ")</f>
        <v>BOQIII230</v>
      </c>
      <c r="G59" s="30">
        <f>IFERROR(VLOOKUP($C59,[19]Nod!$A$3:$E$986,5,FALSE)," ")</f>
        <v>4</v>
      </c>
      <c r="H59" s="326" t="s">
        <v>37</v>
      </c>
      <c r="I59" s="64"/>
      <c r="J59" s="65">
        <v>6002</v>
      </c>
      <c r="K59" s="62">
        <v>1.33</v>
      </c>
      <c r="L59" s="278" t="str">
        <f>VLOOKUP($J59,[19]Nod!$A$3:$E$985,4,FALSE)</f>
        <v>PAN115</v>
      </c>
      <c r="M59" s="278">
        <f>VLOOKUP($J59,[19]Nod!$A$3:$E$985,5,FALSE)</f>
        <v>7</v>
      </c>
      <c r="O59" s="489"/>
      <c r="P59" s="489"/>
      <c r="Q59" s="520"/>
      <c r="R59" s="520"/>
    </row>
    <row r="60" spans="1:18" ht="15" customHeight="1">
      <c r="A60" s="343" t="s">
        <v>326</v>
      </c>
      <c r="B60" s="344" t="s">
        <v>150</v>
      </c>
      <c r="C60" s="349">
        <v>6380</v>
      </c>
      <c r="D60" s="353">
        <v>5.8</v>
      </c>
      <c r="E60" s="351">
        <v>0</v>
      </c>
      <c r="F60" s="30" t="str">
        <f>IFERROR(VLOOKUP($C60,[19]Nod!$A$3:$E$986,4,FALSE)," ")</f>
        <v>BOQIII230</v>
      </c>
      <c r="G60" s="30">
        <f>IFERROR(VLOOKUP($C60,[19]Nod!$A$3:$E$986,5,FALSE)," ")</f>
        <v>4</v>
      </c>
      <c r="H60" s="328"/>
      <c r="I60" s="64"/>
      <c r="J60" s="65"/>
      <c r="K60" s="62"/>
      <c r="L60" s="278"/>
      <c r="M60" s="278"/>
      <c r="O60" s="489"/>
      <c r="P60" s="489"/>
      <c r="Q60" s="520"/>
      <c r="R60" s="520"/>
    </row>
    <row r="61" spans="1:18" ht="15" customHeight="1">
      <c r="A61" s="343" t="s">
        <v>185</v>
      </c>
      <c r="B61" s="344" t="s">
        <v>150</v>
      </c>
      <c r="C61" s="349">
        <v>6013</v>
      </c>
      <c r="D61" s="353">
        <v>6</v>
      </c>
      <c r="E61" s="351">
        <v>0</v>
      </c>
      <c r="F61" s="30" t="str">
        <f>IFERROR(VLOOKUP($C61,[19]Nod!$A$3:$E$986,4,FALSE)," ")</f>
        <v>MDN34</v>
      </c>
      <c r="G61" s="30">
        <f>IFERROR(VLOOKUP($C61,[19]Nod!$A$3:$E$986,5,FALSE)," ")</f>
        <v>4</v>
      </c>
      <c r="H61" s="327" t="s">
        <v>44</v>
      </c>
      <c r="I61" s="64"/>
      <c r="J61" s="65"/>
      <c r="K61" s="62"/>
      <c r="L61" s="278"/>
      <c r="M61" s="278"/>
      <c r="O61" s="489"/>
      <c r="P61" s="489"/>
      <c r="Q61" s="520"/>
      <c r="R61" s="520"/>
    </row>
    <row r="62" spans="1:18" ht="15" customHeight="1">
      <c r="A62" s="343" t="s">
        <v>186</v>
      </c>
      <c r="B62" s="344" t="s">
        <v>150</v>
      </c>
      <c r="C62" s="349">
        <v>6013</v>
      </c>
      <c r="D62" s="521"/>
      <c r="E62" s="351">
        <v>0</v>
      </c>
      <c r="F62" s="30" t="str">
        <f>IFERROR(VLOOKUP($C62,[19]Nod!$A$3:$E$986,4,FALSE)," ")</f>
        <v>MDN34</v>
      </c>
      <c r="G62" s="30">
        <f>IFERROR(VLOOKUP($C62,[19]Nod!$A$3:$E$986,5,FALSE)," ")</f>
        <v>4</v>
      </c>
      <c r="H62" s="54" t="s">
        <v>45</v>
      </c>
      <c r="I62" s="64"/>
      <c r="J62" s="65">
        <v>6002</v>
      </c>
      <c r="K62" s="62">
        <v>208.1</v>
      </c>
      <c r="L62" s="278" t="str">
        <f>VLOOKUP($J62,[19]Nod!$A$3:$E$985,4,FALSE)</f>
        <v>PAN115</v>
      </c>
      <c r="M62" s="278">
        <f>VLOOKUP($J62,[19]Nod!$A$3:$E$985,5,FALSE)</f>
        <v>7</v>
      </c>
      <c r="O62" s="489"/>
      <c r="P62" s="489"/>
      <c r="Q62" s="520"/>
      <c r="R62" s="520"/>
    </row>
    <row r="63" spans="1:18" ht="15" customHeight="1">
      <c r="A63" s="343" t="s">
        <v>187</v>
      </c>
      <c r="B63" s="344" t="s">
        <v>150</v>
      </c>
      <c r="C63" s="349">
        <v>6380</v>
      </c>
      <c r="D63" s="353">
        <v>20.100000000000001</v>
      </c>
      <c r="E63" s="351">
        <v>0</v>
      </c>
      <c r="F63" s="30" t="str">
        <f>IFERROR(VLOOKUP($C63,[19]Nod!$A$3:$E$986,4,FALSE)," ")</f>
        <v>BOQIII230</v>
      </c>
      <c r="G63" s="30">
        <f>IFERROR(VLOOKUP($C63,[19]Nod!$A$3:$E$986,5,FALSE)," ")</f>
        <v>4</v>
      </c>
      <c r="H63" s="54" t="s">
        <v>46</v>
      </c>
      <c r="I63" s="64"/>
      <c r="J63" s="65">
        <v>6002</v>
      </c>
      <c r="K63" s="62">
        <v>276.3</v>
      </c>
      <c r="L63" s="278" t="str">
        <f>VLOOKUP($J63,[19]Nod!$A$3:$E$985,4,FALSE)</f>
        <v>PAN115</v>
      </c>
      <c r="M63" s="278">
        <f>VLOOKUP($J63,[19]Nod!$A$3:$E$985,5,FALSE)</f>
        <v>7</v>
      </c>
      <c r="O63" s="489"/>
      <c r="P63" s="489"/>
      <c r="Q63" s="520"/>
      <c r="R63" s="520"/>
    </row>
    <row r="64" spans="1:18" ht="15" customHeight="1">
      <c r="A64" s="343" t="s">
        <v>188</v>
      </c>
      <c r="B64" s="344" t="s">
        <v>150</v>
      </c>
      <c r="C64" s="349">
        <v>6380</v>
      </c>
      <c r="D64" s="353">
        <v>12.52</v>
      </c>
      <c r="E64" s="351">
        <v>0</v>
      </c>
      <c r="F64" s="30" t="str">
        <f>IFERROR(VLOOKUP($C64,[19]Nod!$A$3:$E$986,4,FALSE)," ")</f>
        <v>BOQIII230</v>
      </c>
      <c r="G64" s="30">
        <f>IFERROR(VLOOKUP($C64,[19]Nod!$A$3:$E$986,5,FALSE)," ")</f>
        <v>4</v>
      </c>
      <c r="H64" s="54" t="s">
        <v>47</v>
      </c>
      <c r="I64" s="64"/>
      <c r="J64" s="65">
        <v>6470</v>
      </c>
      <c r="K64" s="62">
        <v>43.8</v>
      </c>
      <c r="L64" s="278" t="str">
        <f>VLOOKUP($J64,[19]Nod!$A$3:$E$985,4,FALSE)</f>
        <v>24DIC230</v>
      </c>
      <c r="M64" s="278">
        <f>VLOOKUP($J64,[19]Nod!$A$3:$E$985,5,FALSE)</f>
        <v>7</v>
      </c>
      <c r="O64" s="489"/>
      <c r="P64" s="489"/>
      <c r="Q64" s="520"/>
      <c r="R64" s="520"/>
    </row>
    <row r="65" spans="1:18" ht="15" customHeight="1">
      <c r="A65" s="343" t="s">
        <v>189</v>
      </c>
      <c r="B65" s="344" t="s">
        <v>150</v>
      </c>
      <c r="C65" s="349">
        <v>6380</v>
      </c>
      <c r="D65" s="353">
        <v>14</v>
      </c>
      <c r="E65" s="351">
        <v>0</v>
      </c>
      <c r="F65" s="30" t="str">
        <f>IFERROR(VLOOKUP($C65,[19]Nod!$A$3:$E$986,4,FALSE)," ")</f>
        <v>BOQIII230</v>
      </c>
      <c r="G65" s="30">
        <f>IFERROR(VLOOKUP($C65,[19]Nod!$A$3:$E$986,5,FALSE)," ")</f>
        <v>4</v>
      </c>
      <c r="H65" s="327" t="s">
        <v>139</v>
      </c>
      <c r="I65" s="64"/>
      <c r="J65" s="65"/>
      <c r="K65" s="62"/>
      <c r="L65" s="278"/>
      <c r="M65" s="278"/>
      <c r="O65" s="489"/>
      <c r="P65" s="489"/>
      <c r="Q65" s="520"/>
      <c r="R65" s="520"/>
    </row>
    <row r="66" spans="1:18" ht="15" customHeight="1">
      <c r="A66" s="343" t="s">
        <v>190</v>
      </c>
      <c r="B66" s="344" t="s">
        <v>150</v>
      </c>
      <c r="C66" s="467">
        <v>6013</v>
      </c>
      <c r="D66" s="522"/>
      <c r="E66" s="351">
        <v>0</v>
      </c>
      <c r="F66" s="30" t="str">
        <f>IFERROR(VLOOKUP($C66,[19]Nod!$A$3:$E$986,4,FALSE)," ")</f>
        <v>MDN34</v>
      </c>
      <c r="G66" s="30">
        <f>IFERROR(VLOOKUP($C66,[19]Nod!$A$3:$E$986,5,FALSE)," ")</f>
        <v>4</v>
      </c>
      <c r="H66" s="54" t="s">
        <v>48</v>
      </c>
      <c r="I66" s="64"/>
      <c r="J66" s="65">
        <v>6024</v>
      </c>
      <c r="K66" s="62">
        <v>22.67</v>
      </c>
      <c r="L66" s="278" t="str">
        <f>VLOOKUP($J66,[19]Nod!$A$3:$E$985,4,FALSE)</f>
        <v>CHI115</v>
      </c>
      <c r="M66" s="278">
        <f>VLOOKUP($J66,[19]Nod!$A$3:$E$985,5,FALSE)</f>
        <v>7</v>
      </c>
      <c r="O66" s="489"/>
      <c r="P66" s="489"/>
      <c r="Q66" s="520"/>
      <c r="R66" s="520"/>
    </row>
    <row r="67" spans="1:18" ht="15" customHeight="1">
      <c r="A67" s="343" t="s">
        <v>191</v>
      </c>
      <c r="B67" s="344" t="s">
        <v>150</v>
      </c>
      <c r="C67" s="467">
        <v>6013</v>
      </c>
      <c r="D67" s="521"/>
      <c r="E67" s="351">
        <v>0</v>
      </c>
      <c r="F67" s="30" t="str">
        <f>IFERROR(VLOOKUP($C67,[19]Nod!$A$3:$E$986,4,FALSE)," ")</f>
        <v>MDN34</v>
      </c>
      <c r="G67" s="30">
        <f>IFERROR(VLOOKUP($C67,[19]Nod!$A$3:$E$986,5,FALSE)," ")</f>
        <v>4</v>
      </c>
      <c r="H67" s="54" t="s">
        <v>50</v>
      </c>
      <c r="I67" s="64"/>
      <c r="J67" s="65">
        <v>6002</v>
      </c>
      <c r="K67" s="62">
        <v>0.19</v>
      </c>
      <c r="L67" s="278" t="str">
        <f>VLOOKUP($J67,[19]Nod!$A$3:$E$985,4,FALSE)</f>
        <v>PAN115</v>
      </c>
      <c r="M67" s="278">
        <f>VLOOKUP($J67,[19]Nod!$A$3:$E$985,5,FALSE)</f>
        <v>7</v>
      </c>
      <c r="O67" s="489"/>
      <c r="P67" s="489"/>
      <c r="Q67" s="520"/>
      <c r="R67" s="520"/>
    </row>
    <row r="68" spans="1:18" ht="15" customHeight="1">
      <c r="A68" s="343" t="s">
        <v>192</v>
      </c>
      <c r="B68" s="344" t="s">
        <v>150</v>
      </c>
      <c r="C68" s="349">
        <v>6380</v>
      </c>
      <c r="D68" s="353">
        <v>10</v>
      </c>
      <c r="E68" s="351">
        <v>0</v>
      </c>
      <c r="F68" s="30" t="str">
        <f>IFERROR(VLOOKUP($C68,[19]Nod!$A$3:$E$986,4,FALSE)," ")</f>
        <v>BOQIII230</v>
      </c>
      <c r="G68" s="30">
        <f>IFERROR(VLOOKUP($C68,[19]Nod!$A$3:$E$986,5,FALSE)," ")</f>
        <v>4</v>
      </c>
      <c r="H68" s="54" t="s">
        <v>53</v>
      </c>
      <c r="I68" s="64"/>
      <c r="J68" s="65">
        <v>6002</v>
      </c>
      <c r="K68" s="62"/>
      <c r="L68" s="278" t="str">
        <f>VLOOKUP($J68,[19]Nod!$A$3:$E$985,4,FALSE)</f>
        <v>PAN115</v>
      </c>
      <c r="M68" s="278">
        <f>VLOOKUP($J68,[19]Nod!$A$3:$E$985,5,FALSE)</f>
        <v>7</v>
      </c>
      <c r="O68" s="489"/>
      <c r="P68" s="489"/>
      <c r="Q68" s="520"/>
      <c r="R68" s="520"/>
    </row>
    <row r="69" spans="1:18" ht="15" customHeight="1">
      <c r="A69" s="343" t="s">
        <v>193</v>
      </c>
      <c r="B69" s="344" t="s">
        <v>150</v>
      </c>
      <c r="C69" s="349">
        <v>6380</v>
      </c>
      <c r="D69" s="353">
        <v>10</v>
      </c>
      <c r="E69" s="351">
        <v>0</v>
      </c>
      <c r="F69" s="30" t="str">
        <f>IFERROR(VLOOKUP($C69,[19]Nod!$A$3:$E$986,4,FALSE)," ")</f>
        <v>BOQIII230</v>
      </c>
      <c r="G69" s="30">
        <f>IFERROR(VLOOKUP($C69,[19]Nod!$A$3:$E$986,5,FALSE)," ")</f>
        <v>4</v>
      </c>
      <c r="H69" s="326" t="s">
        <v>37</v>
      </c>
      <c r="I69" s="64"/>
      <c r="J69" s="65">
        <v>6002</v>
      </c>
      <c r="K69" s="62">
        <v>2.79</v>
      </c>
      <c r="L69" s="278" t="str">
        <f>VLOOKUP($J69,[19]Nod!$A$3:$E$985,4,FALSE)</f>
        <v>PAN115</v>
      </c>
      <c r="M69" s="278">
        <f>VLOOKUP($J69,[19]Nod!$A$3:$E$985,5,FALSE)</f>
        <v>7</v>
      </c>
      <c r="O69" s="489"/>
      <c r="P69" s="489"/>
      <c r="Q69" s="520"/>
      <c r="R69" s="520"/>
    </row>
    <row r="70" spans="1:18" ht="15" customHeight="1">
      <c r="A70" s="343" t="s">
        <v>194</v>
      </c>
      <c r="B70" s="344" t="s">
        <v>150</v>
      </c>
      <c r="C70" s="349">
        <v>6013</v>
      </c>
      <c r="D70" s="353">
        <v>51.65</v>
      </c>
      <c r="E70" s="351">
        <v>0</v>
      </c>
      <c r="F70" s="30" t="str">
        <f>IFERROR(VLOOKUP($C70,[19]Nod!$A$3:$E$986,4,FALSE)," ")</f>
        <v>MDN34</v>
      </c>
      <c r="G70" s="30">
        <f>IFERROR(VLOOKUP($C70,[19]Nod!$A$3:$E$986,5,FALSE)," ")</f>
        <v>4</v>
      </c>
      <c r="H70" s="299" t="s">
        <v>31</v>
      </c>
      <c r="I70" s="300"/>
      <c r="J70" s="302"/>
      <c r="K70" s="302"/>
      <c r="L70" s="278"/>
      <c r="M70" s="278"/>
      <c r="O70" s="489"/>
      <c r="P70" s="489"/>
      <c r="Q70" s="520"/>
      <c r="R70" s="520"/>
    </row>
    <row r="71" spans="1:18" ht="15" customHeight="1">
      <c r="A71" s="343" t="s">
        <v>195</v>
      </c>
      <c r="B71" s="344" t="s">
        <v>150</v>
      </c>
      <c r="C71" s="349">
        <v>6182</v>
      </c>
      <c r="D71" s="353">
        <v>32.6</v>
      </c>
      <c r="E71" s="351">
        <v>0</v>
      </c>
      <c r="F71" s="30" t="str">
        <f>IFERROR(VLOOKUP($C71,[19]Nod!$A$3:$E$986,4,FALSE)," ")</f>
        <v>VEL230</v>
      </c>
      <c r="G71" s="30">
        <f>IFERROR(VLOOKUP($C71,[19]Nod!$A$3:$E$986,5,FALSE)," ")</f>
        <v>4</v>
      </c>
      <c r="H71" s="303">
        <v>8</v>
      </c>
      <c r="I71" s="296"/>
      <c r="J71" s="319"/>
      <c r="K71" s="297">
        <f>SUM(K72:K74)</f>
        <v>1.7</v>
      </c>
      <c r="L71" s="278"/>
      <c r="M71" s="278"/>
      <c r="O71" s="489"/>
      <c r="P71" s="489"/>
      <c r="Q71" s="520"/>
      <c r="R71" s="520"/>
    </row>
    <row r="72" spans="1:18" ht="15" customHeight="1">
      <c r="A72" s="343" t="s">
        <v>196</v>
      </c>
      <c r="B72" s="344" t="s">
        <v>150</v>
      </c>
      <c r="C72" s="349">
        <v>6182</v>
      </c>
      <c r="D72" s="353">
        <v>5.12</v>
      </c>
      <c r="E72" s="351">
        <v>0</v>
      </c>
      <c r="F72" s="30" t="str">
        <f>IFERROR(VLOOKUP($C72,[19]Nod!$A$3:$E$986,4,FALSE)," ")</f>
        <v>VEL230</v>
      </c>
      <c r="G72" s="30">
        <f>IFERROR(VLOOKUP($C72,[19]Nod!$A$3:$E$986,5,FALSE)," ")</f>
        <v>4</v>
      </c>
      <c r="H72" s="293" t="s">
        <v>44</v>
      </c>
      <c r="I72" s="64"/>
      <c r="J72" s="65"/>
      <c r="K72" s="65"/>
      <c r="L72" s="278"/>
      <c r="M72" s="278"/>
      <c r="O72" s="489"/>
      <c r="P72" s="489"/>
      <c r="Q72" s="520"/>
      <c r="R72" s="520"/>
    </row>
    <row r="73" spans="1:18" ht="15" customHeight="1">
      <c r="A73" s="343" t="s">
        <v>197</v>
      </c>
      <c r="B73" s="344" t="s">
        <v>150</v>
      </c>
      <c r="C73" s="349">
        <v>6380</v>
      </c>
      <c r="D73" s="353">
        <v>5.86</v>
      </c>
      <c r="E73" s="351">
        <v>0</v>
      </c>
      <c r="F73" s="30" t="str">
        <f>IFERROR(VLOOKUP($C73,[19]Nod!$A$3:$E$986,4,FALSE)," ")</f>
        <v>BOQIII230</v>
      </c>
      <c r="G73" s="30">
        <f>IFERROR(VLOOKUP($C73,[19]Nod!$A$3:$E$986,5,FALSE)," ")</f>
        <v>4</v>
      </c>
      <c r="H73" s="325" t="s">
        <v>54</v>
      </c>
      <c r="I73" s="64"/>
      <c r="J73" s="65">
        <v>6100</v>
      </c>
      <c r="K73" s="324">
        <v>1.7</v>
      </c>
      <c r="L73" s="278" t="str">
        <f>VLOOKUP($J73,[19]Nod!$A$3:$E$985,4,FALSE)</f>
        <v>BAY230</v>
      </c>
      <c r="M73" s="278">
        <f>VLOOKUP($J73,[19]Nod!$A$3:$E$985,5,FALSE)</f>
        <v>8</v>
      </c>
      <c r="O73" s="489"/>
      <c r="P73" s="489"/>
      <c r="Q73" s="520"/>
      <c r="R73" s="520"/>
    </row>
    <row r="74" spans="1:18" ht="15" customHeight="1">
      <c r="A74" s="343" t="s">
        <v>198</v>
      </c>
      <c r="B74" s="344" t="s">
        <v>150</v>
      </c>
      <c r="C74" s="349">
        <v>6380</v>
      </c>
      <c r="D74" s="353">
        <v>73.180000000000007</v>
      </c>
      <c r="E74" s="351">
        <v>0</v>
      </c>
      <c r="F74" s="30" t="str">
        <f>IFERROR(VLOOKUP($C74,[19]Nod!$A$3:$E$986,4,FALSE)," ")</f>
        <v>BOQIII230</v>
      </c>
      <c r="G74" s="30">
        <f>IFERROR(VLOOKUP($C74,[19]Nod!$A$3:$E$986,5,FALSE)," ")</f>
        <v>4</v>
      </c>
      <c r="H74" s="299" t="s">
        <v>31</v>
      </c>
      <c r="I74" s="300"/>
      <c r="J74" s="302"/>
      <c r="K74" s="302"/>
      <c r="L74" s="278"/>
      <c r="M74" s="278"/>
      <c r="O74" s="489"/>
      <c r="P74" s="489"/>
      <c r="Q74" s="520"/>
      <c r="R74" s="520"/>
    </row>
    <row r="75" spans="1:18" ht="15" customHeight="1">
      <c r="A75" s="343" t="s">
        <v>199</v>
      </c>
      <c r="B75" s="344" t="s">
        <v>150</v>
      </c>
      <c r="C75" s="349">
        <v>6182</v>
      </c>
      <c r="D75" s="353">
        <v>6.3</v>
      </c>
      <c r="E75" s="351">
        <v>0</v>
      </c>
      <c r="F75" s="30" t="str">
        <f>IFERROR(VLOOKUP($C75,[19]Nod!$A$3:$E$986,4,FALSE)," ")</f>
        <v>VEL230</v>
      </c>
      <c r="G75" s="30">
        <f>IFERROR(VLOOKUP($C75,[19]Nod!$A$3:$E$986,5,FALSE)," ")</f>
        <v>4</v>
      </c>
      <c r="H75" s="303">
        <v>9</v>
      </c>
      <c r="I75" s="296"/>
      <c r="J75" s="318"/>
      <c r="K75" s="297">
        <f>SUM(K76:K81)</f>
        <v>153.85</v>
      </c>
      <c r="L75" s="278"/>
      <c r="M75" s="278"/>
      <c r="O75" s="489"/>
      <c r="P75" s="489"/>
      <c r="Q75" s="520"/>
      <c r="R75" s="520"/>
    </row>
    <row r="76" spans="1:18" ht="15" customHeight="1">
      <c r="A76" s="343" t="s">
        <v>200</v>
      </c>
      <c r="B76" s="344" t="s">
        <v>150</v>
      </c>
      <c r="C76" s="470">
        <v>6380</v>
      </c>
      <c r="D76" s="353">
        <v>8.89</v>
      </c>
      <c r="E76" s="471">
        <v>0</v>
      </c>
      <c r="F76" s="30" t="str">
        <f>IFERROR(VLOOKUP($C76,[19]Nod!$A$3:$E$986,4,FALSE)," ")</f>
        <v>BOQIII230</v>
      </c>
      <c r="G76" s="30">
        <f>IFERROR(VLOOKUP($C76,[19]Nod!$A$3:$E$986,5,FALSE)," ")</f>
        <v>4</v>
      </c>
      <c r="H76" s="293" t="s">
        <v>44</v>
      </c>
      <c r="I76" s="64"/>
      <c r="J76" s="65"/>
      <c r="K76" s="65"/>
      <c r="L76" s="278"/>
      <c r="M76" s="278"/>
      <c r="O76" s="489"/>
      <c r="P76" s="489"/>
      <c r="Q76" s="520"/>
      <c r="R76" s="520"/>
    </row>
    <row r="77" spans="1:18" ht="15" customHeight="1">
      <c r="A77" s="343" t="s">
        <v>201</v>
      </c>
      <c r="B77" s="344" t="s">
        <v>156</v>
      </c>
      <c r="C77" s="470">
        <v>6013</v>
      </c>
      <c r="D77" s="353">
        <v>9</v>
      </c>
      <c r="E77" s="471">
        <v>0</v>
      </c>
      <c r="F77" s="30" t="str">
        <f>IFERROR(VLOOKUP($C77,[19]Nod!$A$3:$E$986,4,FALSE)," ")</f>
        <v>MDN34</v>
      </c>
      <c r="G77" s="30">
        <f>IFERROR(VLOOKUP($C77,[19]Nod!$A$3:$E$986,5,FALSE)," ")</f>
        <v>4</v>
      </c>
      <c r="H77" s="66" t="s">
        <v>55</v>
      </c>
      <c r="I77" s="64"/>
      <c r="J77" s="65">
        <v>6059</v>
      </c>
      <c r="K77" s="62">
        <v>145.9</v>
      </c>
      <c r="L77" s="278" t="str">
        <f>VLOOKUP($J77,[19]Nod!$A$3:$E$985,4,FALSE)</f>
        <v>LM1115</v>
      </c>
      <c r="M77" s="278">
        <f>VLOOKUP($J77,[19]Nod!$A$3:$E$985,5,FALSE)</f>
        <v>9</v>
      </c>
      <c r="O77" s="489"/>
      <c r="P77" s="489"/>
      <c r="Q77" s="520"/>
      <c r="R77" s="520"/>
    </row>
    <row r="78" spans="1:18" ht="15" customHeight="1">
      <c r="A78" s="343" t="s">
        <v>202</v>
      </c>
      <c r="B78" s="344" t="s">
        <v>150</v>
      </c>
      <c r="C78" s="467">
        <v>6013</v>
      </c>
      <c r="D78" s="353">
        <v>19.8</v>
      </c>
      <c r="E78" s="351">
        <v>0</v>
      </c>
      <c r="F78" s="30" t="str">
        <f>IFERROR(VLOOKUP($C78,[19]Nod!$A$3:$E$986,4,FALSE)," ")</f>
        <v>MDN34</v>
      </c>
      <c r="G78" s="30">
        <f>IFERROR(VLOOKUP($C78,[19]Nod!$A$3:$E$986,5,FALSE)," ")</f>
        <v>4</v>
      </c>
      <c r="H78" s="293" t="s">
        <v>36</v>
      </c>
      <c r="I78" s="64"/>
      <c r="J78" s="65"/>
      <c r="K78" s="65"/>
      <c r="L78" s="278"/>
      <c r="M78" s="278"/>
      <c r="O78" s="489"/>
      <c r="P78" s="489"/>
      <c r="Q78" s="520"/>
      <c r="R78" s="520"/>
    </row>
    <row r="79" spans="1:18" ht="15" customHeight="1">
      <c r="A79" s="343" t="s">
        <v>203</v>
      </c>
      <c r="B79" s="344" t="s">
        <v>156</v>
      </c>
      <c r="C79" s="467">
        <v>6520</v>
      </c>
      <c r="D79" s="521"/>
      <c r="E79" s="351">
        <v>0</v>
      </c>
      <c r="F79" s="30" t="str">
        <f>IFERROR(VLOOKUP($C79,[19]Nod!$A$3:$E$986,4,FALSE)," ")</f>
        <v>SBA230</v>
      </c>
      <c r="G79" s="30">
        <f>IFERROR(VLOOKUP($C79,[19]Nod!$A$3:$E$986,5,FALSE)," ")</f>
        <v>4</v>
      </c>
      <c r="H79" s="66" t="s">
        <v>56</v>
      </c>
      <c r="I79" s="64"/>
      <c r="J79" s="65">
        <v>6170</v>
      </c>
      <c r="K79" s="62">
        <v>7.25</v>
      </c>
      <c r="L79" s="278" t="str">
        <f>VLOOKUP($J79,[19]Nod!$A$3:$E$985,4,FALSE)</f>
        <v>CPA115</v>
      </c>
      <c r="M79" s="278">
        <f>VLOOKUP($J79,[19]Nod!$A$3:$E$985,5,FALSE)</f>
        <v>9</v>
      </c>
      <c r="O79" s="489"/>
      <c r="P79" s="489"/>
      <c r="Q79" s="520"/>
      <c r="R79" s="520"/>
    </row>
    <row r="80" spans="1:18" ht="15" customHeight="1">
      <c r="A80" s="343" t="s">
        <v>204</v>
      </c>
      <c r="B80" s="344" t="s">
        <v>150</v>
      </c>
      <c r="C80" s="467">
        <v>6550</v>
      </c>
      <c r="D80" s="353">
        <v>7.62</v>
      </c>
      <c r="E80" s="351">
        <v>0</v>
      </c>
      <c r="F80" s="30" t="str">
        <f>IFERROR(VLOOKUP($C80,[19]Nod!$A$3:$E$986,4,FALSE)," ")</f>
        <v>BEV230</v>
      </c>
      <c r="G80" s="30">
        <f>IFERROR(VLOOKUP($C80,[19]Nod!$A$3:$E$986,5,FALSE)," ")</f>
        <v>4</v>
      </c>
      <c r="H80" s="66" t="s">
        <v>37</v>
      </c>
      <c r="I80" s="64"/>
      <c r="J80" s="65">
        <v>6059</v>
      </c>
      <c r="K80" s="62">
        <v>0.7</v>
      </c>
      <c r="L80" s="278" t="str">
        <f>VLOOKUP($J80,[19]Nod!$A$3:$E$985,4,FALSE)</f>
        <v>LM1115</v>
      </c>
      <c r="M80" s="278">
        <f>VLOOKUP($J80,[19]Nod!$A$3:$E$985,5,FALSE)</f>
        <v>9</v>
      </c>
      <c r="O80" s="489"/>
      <c r="P80" s="489"/>
      <c r="Q80" s="520"/>
      <c r="R80" s="520"/>
    </row>
    <row r="81" spans="1:18" ht="15" customHeight="1">
      <c r="A81" s="343" t="s">
        <v>205</v>
      </c>
      <c r="B81" s="344" t="s">
        <v>156</v>
      </c>
      <c r="C81" s="349">
        <v>6380</v>
      </c>
      <c r="D81" s="353">
        <v>10</v>
      </c>
      <c r="E81" s="351">
        <v>0</v>
      </c>
      <c r="F81" s="30" t="str">
        <f>IFERROR(VLOOKUP($C81,[19]Nod!$A$3:$E$986,4,FALSE)," ")</f>
        <v>BOQIII230</v>
      </c>
      <c r="G81" s="30">
        <f>IFERROR(VLOOKUP($C81,[19]Nod!$A$3:$E$986,5,FALSE)," ")</f>
        <v>4</v>
      </c>
      <c r="H81" s="299" t="s">
        <v>31</v>
      </c>
      <c r="I81" s="300"/>
      <c r="J81" s="302"/>
      <c r="K81" s="302"/>
      <c r="L81" s="278"/>
      <c r="M81" s="278"/>
      <c r="O81" s="489"/>
      <c r="P81" s="489"/>
      <c r="Q81" s="520"/>
      <c r="R81" s="520"/>
    </row>
    <row r="82" spans="1:18" ht="15" customHeight="1">
      <c r="A82" s="343" t="s">
        <v>206</v>
      </c>
      <c r="B82" s="344" t="s">
        <v>156</v>
      </c>
      <c r="C82" s="349">
        <v>6380</v>
      </c>
      <c r="D82" s="353">
        <v>10</v>
      </c>
      <c r="E82" s="351">
        <v>0</v>
      </c>
      <c r="F82" s="30" t="str">
        <f>IFERROR(VLOOKUP($C82,[19]Nod!$A$3:$E$986,4,FALSE)," ")</f>
        <v>BOQIII230</v>
      </c>
      <c r="G82" s="30">
        <f>IFERROR(VLOOKUP($C82,[19]Nod!$A$3:$E$986,5,FALSE)," ")</f>
        <v>4</v>
      </c>
      <c r="H82" s="305">
        <v>10</v>
      </c>
      <c r="I82" s="306"/>
      <c r="J82" s="317"/>
      <c r="K82" s="297">
        <f>SUM(K83:K85)</f>
        <v>56.870000000000005</v>
      </c>
      <c r="L82" s="278"/>
      <c r="M82" s="278"/>
      <c r="O82" s="489"/>
      <c r="P82" s="489"/>
      <c r="Q82" s="520"/>
      <c r="R82" s="520"/>
    </row>
    <row r="83" spans="1:18" ht="15" customHeight="1">
      <c r="A83" s="343" t="s">
        <v>207</v>
      </c>
      <c r="B83" s="344" t="s">
        <v>156</v>
      </c>
      <c r="C83" s="349">
        <v>6380</v>
      </c>
      <c r="D83" s="353">
        <v>10</v>
      </c>
      <c r="E83" s="351">
        <v>0</v>
      </c>
      <c r="F83" s="30" t="str">
        <f>IFERROR(VLOOKUP($C83,[19]Nod!$A$3:$E$986,4,FALSE)," ")</f>
        <v>BOQIII230</v>
      </c>
      <c r="G83" s="30">
        <f>IFERROR(VLOOKUP($C83,[19]Nod!$A$3:$E$986,5,FALSE)," ")</f>
        <v>4</v>
      </c>
      <c r="H83" s="293" t="s">
        <v>28</v>
      </c>
      <c r="I83" s="64"/>
      <c r="J83" s="65"/>
      <c r="K83" s="65"/>
      <c r="L83" s="278"/>
      <c r="M83" s="278"/>
      <c r="O83" s="489"/>
      <c r="P83" s="489"/>
      <c r="Q83" s="520"/>
      <c r="R83" s="520"/>
    </row>
    <row r="84" spans="1:18" ht="15" customHeight="1">
      <c r="A84" s="343" t="s">
        <v>208</v>
      </c>
      <c r="B84" s="344" t="s">
        <v>156</v>
      </c>
      <c r="C84" s="349">
        <v>6380</v>
      </c>
      <c r="D84" s="353">
        <v>10</v>
      </c>
      <c r="E84" s="351">
        <v>0</v>
      </c>
      <c r="F84" s="30" t="str">
        <f>IFERROR(VLOOKUP($C84,[19]Nod!$A$3:$E$986,4,FALSE)," ")</f>
        <v>BOQIII230</v>
      </c>
      <c r="G84" s="30">
        <f>IFERROR(VLOOKUP($C84,[19]Nod!$A$3:$E$986,5,FALSE)," ")</f>
        <v>4</v>
      </c>
      <c r="H84" s="66" t="s">
        <v>141</v>
      </c>
      <c r="I84" s="64"/>
      <c r="J84" s="65">
        <v>6340</v>
      </c>
      <c r="K84" s="62">
        <v>29.93</v>
      </c>
      <c r="L84" s="278" t="str">
        <f>VLOOKUP($J84,[19]Nod!$A$3:$E$985,4,FALSE)</f>
        <v>CAN230</v>
      </c>
      <c r="M84" s="278">
        <f>VLOOKUP($J84,[19]Nod!$A$3:$E$985,5,FALSE)</f>
        <v>10</v>
      </c>
      <c r="O84" s="489"/>
      <c r="P84" s="489"/>
      <c r="Q84" s="520"/>
      <c r="R84" s="520"/>
    </row>
    <row r="85" spans="1:18" ht="15" customHeight="1">
      <c r="A85" s="343" t="s">
        <v>209</v>
      </c>
      <c r="B85" s="344" t="s">
        <v>156</v>
      </c>
      <c r="C85" s="470">
        <v>6380</v>
      </c>
      <c r="D85" s="353">
        <v>9.9600000000000009</v>
      </c>
      <c r="E85" s="351">
        <v>0</v>
      </c>
      <c r="F85" s="30" t="str">
        <f>IFERROR(VLOOKUP($C85,[19]Nod!$A$3:$E$986,4,FALSE)," ")</f>
        <v>BOQIII230</v>
      </c>
      <c r="G85" s="30">
        <f>IFERROR(VLOOKUP($C85,[19]Nod!$A$3:$E$986,5,FALSE)," ")</f>
        <v>4</v>
      </c>
      <c r="H85" s="66" t="s">
        <v>57</v>
      </c>
      <c r="I85" s="64"/>
      <c r="J85" s="65">
        <v>6340</v>
      </c>
      <c r="K85" s="62">
        <v>26.94</v>
      </c>
      <c r="L85" s="278" t="str">
        <f>VLOOKUP($J85,[19]Nod!$A$3:$E$985,4,FALSE)</f>
        <v>CAN230</v>
      </c>
      <c r="M85" s="278">
        <f>VLOOKUP($J85,[19]Nod!$A$3:$E$985,5,FALSE)</f>
        <v>10</v>
      </c>
      <c r="O85" s="489"/>
      <c r="P85" s="489"/>
      <c r="Q85" s="520"/>
      <c r="R85" s="520"/>
    </row>
    <row r="86" spans="1:18" ht="15" customHeight="1">
      <c r="A86" s="343" t="s">
        <v>210</v>
      </c>
      <c r="B86" s="344" t="s">
        <v>156</v>
      </c>
      <c r="C86" s="470">
        <v>6380</v>
      </c>
      <c r="D86" s="353">
        <v>9.9600000000000009</v>
      </c>
      <c r="E86" s="351">
        <v>0</v>
      </c>
      <c r="F86" s="30" t="str">
        <f>IFERROR(VLOOKUP($C86,[19]Nod!$A$3:$E$986,4,FALSE)," ")</f>
        <v>BOQIII230</v>
      </c>
      <c r="G86" s="30">
        <f>IFERROR(VLOOKUP($C86,[19]Nod!$A$3:$E$986,5,FALSE)," ")</f>
        <v>4</v>
      </c>
      <c r="H86" s="299" t="s">
        <v>31</v>
      </c>
      <c r="I86" s="300"/>
      <c r="J86" s="302"/>
      <c r="K86" s="302"/>
      <c r="L86" s="278"/>
      <c r="M86" s="278"/>
      <c r="O86" s="489"/>
      <c r="P86" s="489"/>
      <c r="Q86" s="520"/>
      <c r="R86" s="520"/>
    </row>
    <row r="87" spans="1:18" ht="15" customHeight="1">
      <c r="A87" s="343" t="s">
        <v>346</v>
      </c>
      <c r="B87" s="344" t="s">
        <v>156</v>
      </c>
      <c r="C87" s="470">
        <v>6013</v>
      </c>
      <c r="D87" s="521">
        <v>4.75</v>
      </c>
      <c r="E87" s="351"/>
      <c r="F87" s="30" t="str">
        <f>IFERROR(VLOOKUP($C87,[19]Nod!$A$3:$E$986,4,FALSE)," ")</f>
        <v>MDN34</v>
      </c>
      <c r="G87" s="30">
        <f>IFERROR(VLOOKUP($C87,[19]Nod!$A$3:$E$986,5,FALSE)," ")</f>
        <v>4</v>
      </c>
      <c r="O87" s="489"/>
      <c r="P87" s="489"/>
      <c r="Q87" s="520"/>
      <c r="R87" s="520"/>
    </row>
    <row r="88" spans="1:18" ht="20.45" customHeight="1">
      <c r="A88" s="343" t="s">
        <v>211</v>
      </c>
      <c r="B88" s="515" t="s">
        <v>342</v>
      </c>
      <c r="C88" s="470">
        <v>6013</v>
      </c>
      <c r="D88" s="521">
        <v>1.49</v>
      </c>
      <c r="E88" s="351">
        <v>0</v>
      </c>
      <c r="F88" s="30" t="str">
        <f>IFERROR(VLOOKUP($C88,[19]Nod!$A$3:$E$986,4,FALSE)," ")</f>
        <v>MDN34</v>
      </c>
      <c r="G88" s="30">
        <f>IFERROR(VLOOKUP($C88,[19]Nod!$A$3:$E$986,5,FALSE)," ")</f>
        <v>4</v>
      </c>
      <c r="L88" s="278"/>
      <c r="M88" s="278"/>
      <c r="O88" s="489"/>
      <c r="P88" s="489"/>
      <c r="Q88" s="520"/>
      <c r="R88" s="520"/>
    </row>
    <row r="89" spans="1:18" ht="15" customHeight="1">
      <c r="A89" s="343" t="s">
        <v>328</v>
      </c>
      <c r="B89" s="344" t="s">
        <v>150</v>
      </c>
      <c r="C89" s="470">
        <v>6013</v>
      </c>
      <c r="D89" s="353">
        <v>8.1199999999999992</v>
      </c>
      <c r="E89" s="351">
        <v>0</v>
      </c>
      <c r="F89" s="30" t="str">
        <f>IFERROR(VLOOKUP($C89,[19]Nod!$A$3:$E$986,4,FALSE)," ")</f>
        <v>MDN34</v>
      </c>
      <c r="G89" s="30">
        <f>IFERROR(VLOOKUP($C89,[19]Nod!$A$3:$E$986,5,FALSE)," ")</f>
        <v>4</v>
      </c>
      <c r="L89" s="278"/>
      <c r="M89" s="278"/>
      <c r="O89" s="489"/>
      <c r="P89" s="489"/>
      <c r="Q89" s="520"/>
      <c r="R89" s="520"/>
    </row>
    <row r="90" spans="1:18" ht="15" customHeight="1">
      <c r="A90" s="343" t="s">
        <v>213</v>
      </c>
      <c r="B90" s="344" t="s">
        <v>156</v>
      </c>
      <c r="C90" s="349">
        <v>6013</v>
      </c>
      <c r="D90" s="353">
        <v>105</v>
      </c>
      <c r="E90" s="351">
        <v>0</v>
      </c>
      <c r="F90" s="30" t="str">
        <f>IFERROR(VLOOKUP($C90,[19]Nod!$A$3:$E$986,4,FALSE)," ")</f>
        <v>MDN34</v>
      </c>
      <c r="G90" s="30">
        <f>IFERROR(VLOOKUP($C90,[19]Nod!$A$3:$E$986,5,FALSE)," ")</f>
        <v>4</v>
      </c>
      <c r="L90" s="278"/>
      <c r="M90" s="278"/>
      <c r="O90" s="489"/>
      <c r="P90" s="489"/>
      <c r="Q90" s="520"/>
      <c r="R90" s="520"/>
    </row>
    <row r="91" spans="1:18" ht="15" customHeight="1">
      <c r="A91" s="343" t="s">
        <v>214</v>
      </c>
      <c r="B91" s="344" t="s">
        <v>156</v>
      </c>
      <c r="C91" s="349">
        <v>6013</v>
      </c>
      <c r="D91" s="353">
        <v>9.9600000000000009</v>
      </c>
      <c r="E91" s="351">
        <v>0</v>
      </c>
      <c r="F91" s="30" t="str">
        <f>IFERROR(VLOOKUP($C91,[19]Nod!$A$3:$E$986,4,FALSE)," ")</f>
        <v>MDN34</v>
      </c>
      <c r="G91" s="30">
        <f>IFERROR(VLOOKUP($C91,[19]Nod!$A$3:$E$986,5,FALSE)," ")</f>
        <v>4</v>
      </c>
      <c r="L91" s="278"/>
      <c r="M91" s="278"/>
      <c r="O91" s="489"/>
      <c r="P91" s="489"/>
      <c r="Q91" s="520"/>
      <c r="R91" s="520"/>
    </row>
    <row r="92" spans="1:18" ht="15" customHeight="1">
      <c r="A92" s="343" t="s">
        <v>215</v>
      </c>
      <c r="B92" s="344" t="s">
        <v>150</v>
      </c>
      <c r="C92" s="349">
        <v>6182</v>
      </c>
      <c r="D92" s="353">
        <v>28.84</v>
      </c>
      <c r="E92" s="351">
        <v>0</v>
      </c>
      <c r="F92" s="30" t="str">
        <f>IFERROR(VLOOKUP($C92,[19]Nod!$A$3:$E$986,4,FALSE)," ")</f>
        <v>VEL230</v>
      </c>
      <c r="G92" s="30">
        <f>IFERROR(VLOOKUP($C92,[19]Nod!$A$3:$E$986,5,FALSE)," ")</f>
        <v>4</v>
      </c>
      <c r="L92" s="278"/>
      <c r="M92" s="278"/>
      <c r="O92" s="489"/>
      <c r="P92" s="489"/>
      <c r="Q92" s="520"/>
      <c r="R92" s="520"/>
    </row>
    <row r="93" spans="1:18" ht="15" customHeight="1">
      <c r="A93" s="343" t="s">
        <v>216</v>
      </c>
      <c r="B93" s="344" t="s">
        <v>156</v>
      </c>
      <c r="C93" s="349">
        <v>6380</v>
      </c>
      <c r="D93" s="521"/>
      <c r="E93" s="351">
        <v>0</v>
      </c>
      <c r="F93" s="30" t="str">
        <f>IFERROR(VLOOKUP($C93,[19]Nod!$A$3:$E$986,4,FALSE)," ")</f>
        <v>BOQIII230</v>
      </c>
      <c r="G93" s="30">
        <f>IFERROR(VLOOKUP($C93,[19]Nod!$A$3:$E$986,5,FALSE)," ")</f>
        <v>4</v>
      </c>
      <c r="L93" s="278"/>
      <c r="M93" s="278"/>
      <c r="O93" s="489"/>
      <c r="P93" s="489"/>
      <c r="Q93" s="520"/>
      <c r="R93" s="520"/>
    </row>
    <row r="94" spans="1:18" ht="15" customHeight="1">
      <c r="A94" s="343" t="s">
        <v>217</v>
      </c>
      <c r="B94" s="344" t="s">
        <v>156</v>
      </c>
      <c r="C94" s="349">
        <v>6013</v>
      </c>
      <c r="D94" s="353">
        <v>9.9</v>
      </c>
      <c r="E94" s="351">
        <v>0</v>
      </c>
      <c r="F94" s="30" t="str">
        <f>IFERROR(VLOOKUP($C94,[19]Nod!$A$3:$E$986,4,FALSE)," ")</f>
        <v>MDN34</v>
      </c>
      <c r="G94" s="30">
        <f>IFERROR(VLOOKUP($C94,[19]Nod!$A$3:$E$986,5,FALSE)," ")</f>
        <v>4</v>
      </c>
      <c r="L94" s="278"/>
      <c r="M94" s="278"/>
      <c r="O94" s="489"/>
      <c r="P94" s="489"/>
      <c r="Q94" s="520"/>
      <c r="R94" s="520"/>
    </row>
    <row r="95" spans="1:18" ht="15" customHeight="1">
      <c r="A95" s="343" t="s">
        <v>218</v>
      </c>
      <c r="B95" s="344" t="s">
        <v>156</v>
      </c>
      <c r="C95" s="349">
        <v>6380</v>
      </c>
      <c r="D95" s="484">
        <v>9.8000000000000007</v>
      </c>
      <c r="E95" s="351">
        <v>0</v>
      </c>
      <c r="F95" s="30" t="str">
        <f>IFERROR(VLOOKUP($C95,[19]Nod!$A$3:$E$986,4,FALSE)," ")</f>
        <v>BOQIII230</v>
      </c>
      <c r="G95" s="30">
        <f>IFERROR(VLOOKUP($C95,[19]Nod!$A$3:$E$986,5,FALSE)," ")</f>
        <v>4</v>
      </c>
      <c r="L95" s="278"/>
      <c r="M95" s="278"/>
      <c r="O95" s="489"/>
      <c r="P95" s="489"/>
      <c r="Q95" s="520"/>
      <c r="R95" s="520"/>
    </row>
    <row r="96" spans="1:18" ht="15" customHeight="1">
      <c r="A96" s="346" t="s">
        <v>219</v>
      </c>
      <c r="B96" s="344" t="s">
        <v>156</v>
      </c>
      <c r="C96" s="349">
        <v>6380</v>
      </c>
      <c r="D96" s="353">
        <v>9.8000000000000007</v>
      </c>
      <c r="E96" s="351">
        <v>0</v>
      </c>
      <c r="F96" s="30" t="str">
        <f>IFERROR(VLOOKUP($C96,[19]Nod!$A$3:$E$986,4,FALSE)," ")</f>
        <v>BOQIII230</v>
      </c>
      <c r="G96" s="30">
        <f>IFERROR(VLOOKUP($C96,[19]Nod!$A$3:$E$986,5,FALSE)," ")</f>
        <v>4</v>
      </c>
      <c r="L96" s="278"/>
      <c r="M96" s="278"/>
      <c r="O96" s="489"/>
      <c r="P96" s="489"/>
      <c r="Q96" s="520"/>
      <c r="R96" s="520"/>
    </row>
    <row r="97" spans="1:18" ht="15" customHeight="1">
      <c r="A97" s="346" t="s">
        <v>220</v>
      </c>
      <c r="B97" s="344" t="s">
        <v>156</v>
      </c>
      <c r="C97" s="349">
        <v>6380</v>
      </c>
      <c r="D97" s="353">
        <v>9.8000000000000007</v>
      </c>
      <c r="E97" s="351">
        <v>0</v>
      </c>
      <c r="F97" s="30" t="str">
        <f>IFERROR(VLOOKUP($C97,[19]Nod!$A$3:$E$986,4,FALSE)," ")</f>
        <v>BOQIII230</v>
      </c>
      <c r="G97" s="30">
        <f>IFERROR(VLOOKUP($C97,[19]Nod!$A$3:$E$986,5,FALSE)," ")</f>
        <v>4</v>
      </c>
      <c r="L97" s="278"/>
      <c r="M97" s="278"/>
      <c r="O97" s="489"/>
      <c r="P97" s="489"/>
      <c r="Q97" s="520"/>
      <c r="R97" s="520"/>
    </row>
    <row r="98" spans="1:18" ht="15" customHeight="1">
      <c r="A98" s="346" t="s">
        <v>221</v>
      </c>
      <c r="B98" s="344" t="s">
        <v>156</v>
      </c>
      <c r="C98" s="349">
        <v>6013</v>
      </c>
      <c r="D98" s="353">
        <v>9.9</v>
      </c>
      <c r="E98" s="351">
        <v>0</v>
      </c>
      <c r="F98" s="30" t="str">
        <f>IFERROR(VLOOKUP($C98,[19]Nod!$A$3:$E$986,4,FALSE)," ")</f>
        <v>MDN34</v>
      </c>
      <c r="G98" s="30">
        <f>IFERROR(VLOOKUP($C98,[19]Nod!$A$3:$E$986,5,FALSE)," ")</f>
        <v>4</v>
      </c>
      <c r="L98" s="278"/>
      <c r="M98" s="278"/>
      <c r="O98" s="489"/>
      <c r="P98" s="489"/>
      <c r="Q98" s="520"/>
      <c r="R98" s="520"/>
    </row>
    <row r="99" spans="1:18" ht="15" customHeight="1">
      <c r="A99" s="346" t="s">
        <v>222</v>
      </c>
      <c r="B99" s="344" t="s">
        <v>156</v>
      </c>
      <c r="C99" s="349">
        <v>6013</v>
      </c>
      <c r="D99" s="353">
        <v>9.9</v>
      </c>
      <c r="E99" s="351">
        <v>0</v>
      </c>
      <c r="F99" s="30" t="str">
        <f>IFERROR(VLOOKUP($C99,[19]Nod!$A$3:$E$986,4,FALSE)," ")</f>
        <v>MDN34</v>
      </c>
      <c r="G99" s="30">
        <f>IFERROR(VLOOKUP($C99,[19]Nod!$A$3:$E$986,5,FALSE)," ")</f>
        <v>4</v>
      </c>
      <c r="L99" s="278"/>
      <c r="M99" s="278"/>
      <c r="O99" s="489"/>
      <c r="P99" s="489"/>
      <c r="Q99" s="520"/>
      <c r="R99" s="520"/>
    </row>
    <row r="100" spans="1:18" ht="15" customHeight="1">
      <c r="A100" s="348" t="s">
        <v>223</v>
      </c>
      <c r="B100" s="344" t="s">
        <v>156</v>
      </c>
      <c r="C100" s="349">
        <v>6380</v>
      </c>
      <c r="D100" s="353">
        <v>9.9</v>
      </c>
      <c r="E100" s="351">
        <v>0</v>
      </c>
      <c r="F100" s="30" t="str">
        <f>IFERROR(VLOOKUP($C100,[19]Nod!$A$3:$E$986,4,FALSE)," ")</f>
        <v>BOQIII230</v>
      </c>
      <c r="G100" s="30">
        <f>IFERROR(VLOOKUP($C100,[19]Nod!$A$3:$E$986,5,FALSE)," ")</f>
        <v>4</v>
      </c>
      <c r="L100" s="278"/>
      <c r="M100" s="278"/>
      <c r="O100" s="489"/>
      <c r="P100" s="489"/>
      <c r="Q100" s="520"/>
      <c r="R100" s="520"/>
    </row>
    <row r="101" spans="1:18" ht="15" customHeight="1">
      <c r="A101" s="348" t="s">
        <v>224</v>
      </c>
      <c r="B101" s="344" t="s">
        <v>156</v>
      </c>
      <c r="C101" s="349">
        <v>6013</v>
      </c>
      <c r="D101" s="353">
        <v>9.9</v>
      </c>
      <c r="E101" s="351">
        <v>0</v>
      </c>
      <c r="F101" s="30" t="str">
        <f>IFERROR(VLOOKUP($C101,[19]Nod!$A$3:$E$986,4,FALSE)," ")</f>
        <v>MDN34</v>
      </c>
      <c r="G101" s="30">
        <f>IFERROR(VLOOKUP($C101,[19]Nod!$A$3:$E$986,5,FALSE)," ")</f>
        <v>4</v>
      </c>
      <c r="L101" s="278"/>
      <c r="M101" s="278"/>
      <c r="O101" s="489"/>
      <c r="P101" s="489"/>
      <c r="Q101" s="520"/>
      <c r="R101" s="520"/>
    </row>
    <row r="102" spans="1:18" ht="15" customHeight="1">
      <c r="A102" s="348" t="s">
        <v>225</v>
      </c>
      <c r="B102" s="344" t="s">
        <v>156</v>
      </c>
      <c r="C102" s="349">
        <v>6013</v>
      </c>
      <c r="D102" s="353">
        <v>9.9</v>
      </c>
      <c r="E102" s="351">
        <v>0</v>
      </c>
      <c r="F102" s="30" t="str">
        <f>IFERROR(VLOOKUP($C102,[19]Nod!$A$3:$E$986,4,FALSE)," ")</f>
        <v>MDN34</v>
      </c>
      <c r="G102" s="30">
        <f>IFERROR(VLOOKUP($C102,[19]Nod!$A$3:$E$986,5,FALSE)," ")</f>
        <v>4</v>
      </c>
      <c r="L102" s="278"/>
      <c r="M102" s="278"/>
      <c r="O102" s="489"/>
      <c r="P102" s="489"/>
      <c r="Q102" s="520"/>
      <c r="R102" s="520"/>
    </row>
    <row r="103" spans="1:18" ht="15" customHeight="1">
      <c r="A103" s="348" t="s">
        <v>226</v>
      </c>
      <c r="B103" s="344" t="s">
        <v>156</v>
      </c>
      <c r="C103" s="349">
        <v>6013</v>
      </c>
      <c r="D103" s="350">
        <v>70</v>
      </c>
      <c r="E103" s="351">
        <v>0</v>
      </c>
      <c r="F103" s="30" t="str">
        <f>IFERROR(VLOOKUP($C103,[19]Nod!$A$3:$E$986,4,FALSE)," ")</f>
        <v>MDN34</v>
      </c>
      <c r="G103" s="30">
        <f>IFERROR(VLOOKUP($C103,[19]Nod!$A$3:$E$986,5,FALSE)," ")</f>
        <v>4</v>
      </c>
      <c r="L103" s="278"/>
      <c r="M103" s="278"/>
      <c r="O103" s="489"/>
      <c r="P103" s="489"/>
      <c r="Q103" s="520"/>
      <c r="R103" s="520"/>
    </row>
    <row r="104" spans="1:18" ht="15" customHeight="1">
      <c r="A104" s="348" t="s">
        <v>227</v>
      </c>
      <c r="B104" s="344" t="s">
        <v>156</v>
      </c>
      <c r="C104" s="349">
        <v>6013</v>
      </c>
      <c r="D104" s="350">
        <v>9.9</v>
      </c>
      <c r="E104" s="351">
        <v>0</v>
      </c>
      <c r="F104" s="30" t="str">
        <f>IFERROR(VLOOKUP($C104,[19]Nod!$A$3:$E$986,4,FALSE)," ")</f>
        <v>MDN34</v>
      </c>
      <c r="G104" s="30">
        <f>IFERROR(VLOOKUP($C104,[19]Nod!$A$3:$E$986,5,FALSE)," ")</f>
        <v>4</v>
      </c>
      <c r="L104" s="278"/>
      <c r="M104" s="278"/>
      <c r="O104" s="489"/>
      <c r="P104" s="489"/>
      <c r="Q104" s="520"/>
      <c r="R104" s="520"/>
    </row>
    <row r="105" spans="1:18" ht="15" customHeight="1">
      <c r="A105" s="348" t="s">
        <v>228</v>
      </c>
      <c r="B105" s="344" t="s">
        <v>156</v>
      </c>
      <c r="C105" s="349">
        <v>6013</v>
      </c>
      <c r="D105" s="350">
        <v>9.9</v>
      </c>
      <c r="E105" s="351">
        <v>0</v>
      </c>
      <c r="F105" s="30" t="str">
        <f>IFERROR(VLOOKUP($C105,[19]Nod!$A$3:$E$986,4,FALSE)," ")</f>
        <v>MDN34</v>
      </c>
      <c r="G105" s="30">
        <f>IFERROR(VLOOKUP($C105,[19]Nod!$A$3:$E$986,5,FALSE)," ")</f>
        <v>4</v>
      </c>
      <c r="L105" s="278"/>
      <c r="M105" s="278"/>
      <c r="O105" s="489"/>
      <c r="P105" s="489"/>
      <c r="Q105" s="520"/>
      <c r="R105" s="520"/>
    </row>
    <row r="106" spans="1:18" ht="15" customHeight="1">
      <c r="A106" s="348" t="s">
        <v>229</v>
      </c>
      <c r="B106" s="344" t="s">
        <v>156</v>
      </c>
      <c r="C106" s="349">
        <v>6013</v>
      </c>
      <c r="D106" s="350">
        <v>9.9</v>
      </c>
      <c r="E106" s="351">
        <v>0</v>
      </c>
      <c r="F106" s="30" t="str">
        <f>IFERROR(VLOOKUP($C106,[19]Nod!$A$3:$E$986,4,FALSE)," ")</f>
        <v>MDN34</v>
      </c>
      <c r="G106" s="30">
        <f>IFERROR(VLOOKUP($C106,[19]Nod!$A$3:$E$986,5,FALSE)," ")</f>
        <v>4</v>
      </c>
      <c r="L106" s="278"/>
      <c r="M106" s="278"/>
      <c r="O106" s="489"/>
      <c r="P106" s="489"/>
      <c r="Q106" s="520"/>
      <c r="R106" s="520"/>
    </row>
    <row r="107" spans="1:18" ht="15" customHeight="1">
      <c r="A107" s="348" t="s">
        <v>230</v>
      </c>
      <c r="B107" s="344" t="s">
        <v>156</v>
      </c>
      <c r="C107" s="349">
        <v>6013</v>
      </c>
      <c r="D107" s="350">
        <v>9.9</v>
      </c>
      <c r="E107" s="351">
        <v>0</v>
      </c>
      <c r="F107" s="30" t="str">
        <f>IFERROR(VLOOKUP($C107,[19]Nod!$A$3:$E$986,4,FALSE)," ")</f>
        <v>MDN34</v>
      </c>
      <c r="G107" s="30">
        <f>IFERROR(VLOOKUP($C107,[19]Nod!$A$3:$E$986,5,FALSE)," ")</f>
        <v>4</v>
      </c>
      <c r="L107" s="278"/>
      <c r="M107" s="278"/>
      <c r="O107" s="489"/>
      <c r="P107" s="489"/>
      <c r="Q107" s="520"/>
      <c r="R107" s="520"/>
    </row>
    <row r="108" spans="1:18" ht="15" customHeight="1">
      <c r="A108" s="348" t="s">
        <v>231</v>
      </c>
      <c r="B108" s="344" t="s">
        <v>150</v>
      </c>
      <c r="C108" s="349">
        <v>6013</v>
      </c>
      <c r="D108" s="350"/>
      <c r="E108" s="351"/>
      <c r="F108" s="30" t="str">
        <f>IFERROR(VLOOKUP($C108,[19]Nod!$A$3:$E$986,4,FALSE)," ")</f>
        <v>MDN34</v>
      </c>
      <c r="G108" s="30">
        <f>IFERROR(VLOOKUP($C108,[19]Nod!$A$3:$E$986,5,FALSE)," ")</f>
        <v>4</v>
      </c>
      <c r="L108" s="278"/>
      <c r="M108" s="278"/>
      <c r="O108" s="489"/>
      <c r="P108" s="489"/>
      <c r="Q108" s="520"/>
      <c r="R108" s="520"/>
    </row>
    <row r="109" spans="1:18" ht="15" customHeight="1">
      <c r="A109" s="346" t="s">
        <v>232</v>
      </c>
      <c r="B109" s="344" t="s">
        <v>156</v>
      </c>
      <c r="C109" s="352">
        <v>6520</v>
      </c>
      <c r="D109" s="353">
        <v>9.99</v>
      </c>
      <c r="E109" s="351">
        <v>0</v>
      </c>
      <c r="F109" s="30" t="str">
        <f>IFERROR(VLOOKUP($C109,[19]Nod!$A$3:$E$986,4,FALSE)," ")</f>
        <v>SBA230</v>
      </c>
      <c r="G109" s="30">
        <f>IFERROR(VLOOKUP($C109,[19]Nod!$A$3:$E$986,5,FALSE)," ")</f>
        <v>4</v>
      </c>
      <c r="L109" s="278"/>
      <c r="M109" s="278"/>
      <c r="O109" s="489"/>
      <c r="P109" s="489"/>
      <c r="Q109" s="520"/>
      <c r="R109" s="520"/>
    </row>
    <row r="110" spans="1:18" ht="15" customHeight="1">
      <c r="A110" s="346" t="s">
        <v>233</v>
      </c>
      <c r="B110" s="344" t="s">
        <v>156</v>
      </c>
      <c r="C110" s="352">
        <v>6520</v>
      </c>
      <c r="D110" s="353">
        <v>9.99</v>
      </c>
      <c r="E110" s="351">
        <v>0</v>
      </c>
      <c r="F110" s="30" t="str">
        <f>IFERROR(VLOOKUP($C110,[19]Nod!$A$3:$E$986,4,FALSE)," ")</f>
        <v>SBA230</v>
      </c>
      <c r="G110" s="30">
        <f>IFERROR(VLOOKUP($C110,[19]Nod!$A$3:$E$986,5,FALSE)," ")</f>
        <v>4</v>
      </c>
      <c r="L110" s="278"/>
      <c r="M110" s="278"/>
      <c r="O110" s="489"/>
      <c r="P110" s="489"/>
      <c r="Q110" s="520"/>
      <c r="R110" s="520"/>
    </row>
    <row r="111" spans="1:18" ht="15" customHeight="1">
      <c r="A111" s="346" t="s">
        <v>234</v>
      </c>
      <c r="B111" s="344" t="s">
        <v>156</v>
      </c>
      <c r="C111" s="352">
        <v>6520</v>
      </c>
      <c r="D111" s="353">
        <v>9.99</v>
      </c>
      <c r="E111" s="351">
        <v>0</v>
      </c>
      <c r="F111" s="30" t="str">
        <f>IFERROR(VLOOKUP($C111,[19]Nod!$A$3:$E$986,4,FALSE)," ")</f>
        <v>SBA230</v>
      </c>
      <c r="G111" s="30">
        <f>IFERROR(VLOOKUP($C111,[19]Nod!$A$3:$E$986,5,FALSE)," ")</f>
        <v>4</v>
      </c>
      <c r="L111" s="278"/>
      <c r="M111" s="278"/>
      <c r="O111" s="489"/>
      <c r="P111" s="489"/>
      <c r="Q111" s="520"/>
      <c r="R111" s="520"/>
    </row>
    <row r="112" spans="1:18" ht="15" customHeight="1">
      <c r="A112" s="346" t="s">
        <v>235</v>
      </c>
      <c r="B112" s="344" t="s">
        <v>156</v>
      </c>
      <c r="C112" s="352">
        <v>6520</v>
      </c>
      <c r="D112" s="353">
        <v>9.99</v>
      </c>
      <c r="E112" s="351">
        <v>0</v>
      </c>
      <c r="F112" s="30" t="str">
        <f>IFERROR(VLOOKUP($C112,[19]Nod!$A$3:$E$986,4,FALSE)," ")</f>
        <v>SBA230</v>
      </c>
      <c r="G112" s="30">
        <f>IFERROR(VLOOKUP($C112,[19]Nod!$A$3:$E$986,5,FALSE)," ")</f>
        <v>4</v>
      </c>
      <c r="L112" s="278"/>
      <c r="M112" s="278"/>
      <c r="O112" s="489"/>
      <c r="P112" s="489"/>
      <c r="Q112" s="520"/>
      <c r="R112" s="520"/>
    </row>
    <row r="113" spans="1:18" ht="15" customHeight="1">
      <c r="A113" s="346" t="s">
        <v>236</v>
      </c>
      <c r="B113" s="344" t="s">
        <v>156</v>
      </c>
      <c r="C113" s="352">
        <v>6520</v>
      </c>
      <c r="D113" s="353">
        <v>9.99</v>
      </c>
      <c r="E113" s="351">
        <v>0</v>
      </c>
      <c r="F113" s="30" t="str">
        <f>IFERROR(VLOOKUP($C113,[19]Nod!$A$3:$E$986,4,FALSE)," ")</f>
        <v>SBA230</v>
      </c>
      <c r="G113" s="30">
        <f>IFERROR(VLOOKUP($C113,[19]Nod!$A$3:$E$986,5,FALSE)," ")</f>
        <v>4</v>
      </c>
      <c r="L113" s="278"/>
      <c r="M113" s="278"/>
      <c r="O113" s="489"/>
      <c r="P113" s="489"/>
      <c r="Q113" s="520"/>
      <c r="R113" s="520"/>
    </row>
    <row r="114" spans="1:18" ht="15" customHeight="1">
      <c r="A114" s="346" t="s">
        <v>237</v>
      </c>
      <c r="B114" s="344" t="s">
        <v>156</v>
      </c>
      <c r="C114" s="352">
        <v>6520</v>
      </c>
      <c r="D114" s="353">
        <v>9.99</v>
      </c>
      <c r="E114" s="351">
        <v>0</v>
      </c>
      <c r="F114" s="30" t="str">
        <f>IFERROR(VLOOKUP($C114,[19]Nod!$A$3:$E$986,4,FALSE)," ")</f>
        <v>SBA230</v>
      </c>
      <c r="G114" s="30">
        <f>IFERROR(VLOOKUP($C114,[19]Nod!$A$3:$E$986,5,FALSE)," ")</f>
        <v>4</v>
      </c>
      <c r="L114" s="278"/>
      <c r="M114" s="278"/>
      <c r="O114" s="489"/>
      <c r="P114" s="489"/>
      <c r="Q114" s="520"/>
      <c r="R114" s="520"/>
    </row>
    <row r="115" spans="1:18" ht="15" customHeight="1">
      <c r="A115" s="347" t="s">
        <v>238</v>
      </c>
      <c r="B115" s="344" t="s">
        <v>156</v>
      </c>
      <c r="C115" s="352">
        <v>6520</v>
      </c>
      <c r="D115" s="353">
        <v>9.99</v>
      </c>
      <c r="E115" s="351">
        <v>0</v>
      </c>
      <c r="F115" s="30" t="str">
        <f>IFERROR(VLOOKUP($C115,[19]Nod!$A$3:$E$986,4,FALSE)," ")</f>
        <v>SBA230</v>
      </c>
      <c r="G115" s="30">
        <f>IFERROR(VLOOKUP($C115,[19]Nod!$A$3:$E$986,5,FALSE)," ")</f>
        <v>4</v>
      </c>
      <c r="L115" s="278"/>
      <c r="M115" s="278"/>
      <c r="O115" s="489"/>
      <c r="P115" s="489"/>
      <c r="Q115" s="520"/>
      <c r="R115" s="520"/>
    </row>
    <row r="116" spans="1:18" ht="15" customHeight="1">
      <c r="A116" s="460" t="s">
        <v>31</v>
      </c>
      <c r="B116" s="445"/>
      <c r="C116" s="446"/>
      <c r="D116" s="446"/>
      <c r="E116" s="461"/>
      <c r="F116" s="30"/>
      <c r="G116" s="30"/>
      <c r="L116" s="278"/>
      <c r="M116" s="278"/>
      <c r="O116" s="489"/>
      <c r="P116" s="489"/>
      <c r="Q116" s="520"/>
      <c r="R116" s="520"/>
    </row>
    <row r="117" spans="1:18" ht="15" customHeight="1">
      <c r="A117" s="45">
        <v>5</v>
      </c>
      <c r="B117" s="42"/>
      <c r="C117" s="43"/>
      <c r="D117" s="297">
        <f>SUM(D118:D165)</f>
        <v>806.46999999999991</v>
      </c>
      <c r="E117" s="294"/>
      <c r="F117" s="30" t="str">
        <f>IFERROR(VLOOKUP($C117,[19]Nod!$A$3:$E$986,4,FALSE)," ")</f>
        <v xml:space="preserve"> </v>
      </c>
      <c r="G117" s="30" t="str">
        <f>IFERROR(VLOOKUP($C117,[19]Nod!$A$3:$E$986,5,FALSE)," ")</f>
        <v xml:space="preserve"> </v>
      </c>
      <c r="L117" s="278"/>
      <c r="M117" s="278"/>
      <c r="O117" s="489"/>
      <c r="P117" s="489"/>
      <c r="Q117" s="520"/>
      <c r="R117" s="520"/>
    </row>
    <row r="118" spans="1:18" ht="15" customHeight="1">
      <c r="A118" s="343" t="s">
        <v>239</v>
      </c>
      <c r="B118" s="344" t="s">
        <v>150</v>
      </c>
      <c r="C118" s="353">
        <v>6008</v>
      </c>
      <c r="D118" s="483">
        <v>6.66</v>
      </c>
      <c r="E118" s="351">
        <v>0</v>
      </c>
      <c r="F118" s="30" t="str">
        <f>IFERROR(VLOOKUP($C118,[19]Nod!$A$3:$E$986,4,FALSE)," ")</f>
        <v>LSA230</v>
      </c>
      <c r="G118" s="30">
        <f>IFERROR(VLOOKUP($C118,[19]Nod!$A$3:$E$986,5,FALSE)," ")</f>
        <v>5</v>
      </c>
      <c r="L118" s="278"/>
      <c r="M118" s="278"/>
      <c r="O118" s="489"/>
      <c r="P118" s="489"/>
      <c r="Q118" s="520"/>
      <c r="R118" s="520"/>
    </row>
    <row r="119" spans="1:18" ht="15" customHeight="1">
      <c r="A119" s="343" t="s">
        <v>240</v>
      </c>
      <c r="B119" s="344" t="s">
        <v>150</v>
      </c>
      <c r="C119" s="353">
        <v>6008</v>
      </c>
      <c r="D119" s="483">
        <v>7</v>
      </c>
      <c r="E119" s="475">
        <v>0</v>
      </c>
      <c r="F119" s="30" t="str">
        <f>IFERROR(VLOOKUP($C119,[19]Nod!$A$3:$E$986,4,FALSE)," ")</f>
        <v>LSA230</v>
      </c>
      <c r="G119" s="30">
        <f>IFERROR(VLOOKUP($C119,[19]Nod!$A$3:$E$986,5,FALSE)," ")</f>
        <v>5</v>
      </c>
      <c r="L119" s="278"/>
      <c r="M119" s="278"/>
      <c r="O119" s="489"/>
      <c r="P119" s="489"/>
      <c r="Q119" s="520"/>
      <c r="R119" s="520"/>
    </row>
    <row r="120" spans="1:18" ht="15" customHeight="1">
      <c r="A120" s="343" t="s">
        <v>241</v>
      </c>
      <c r="B120" s="344" t="s">
        <v>156</v>
      </c>
      <c r="C120" s="353">
        <v>6008</v>
      </c>
      <c r="D120" s="483">
        <v>9.93</v>
      </c>
      <c r="E120" s="351">
        <v>0</v>
      </c>
      <c r="F120" s="30" t="str">
        <f>IFERROR(VLOOKUP($C120,[19]Nod!$A$3:$E$986,4,FALSE)," ")</f>
        <v>LSA230</v>
      </c>
      <c r="G120" s="30">
        <f>IFERROR(VLOOKUP($C120,[19]Nod!$A$3:$E$986,5,FALSE)," ")</f>
        <v>5</v>
      </c>
      <c r="K120" s="292"/>
      <c r="L120" s="278"/>
      <c r="M120" s="278"/>
      <c r="O120" s="489"/>
      <c r="P120" s="489"/>
      <c r="Q120" s="520"/>
      <c r="R120" s="520"/>
    </row>
    <row r="121" spans="1:18" ht="15" customHeight="1">
      <c r="A121" s="343" t="s">
        <v>242</v>
      </c>
      <c r="B121" s="344" t="s">
        <v>156</v>
      </c>
      <c r="C121" s="353">
        <v>6008</v>
      </c>
      <c r="D121" s="483">
        <v>9.99</v>
      </c>
      <c r="E121" s="351">
        <v>0</v>
      </c>
      <c r="F121" s="30" t="str">
        <f>IFERROR(VLOOKUP($C121,[19]Nod!$A$3:$E$986,4,FALSE)," ")</f>
        <v>LSA230</v>
      </c>
      <c r="G121" s="30">
        <f>IFERROR(VLOOKUP($C121,[19]Nod!$A$3:$E$986,5,FALSE)," ")</f>
        <v>5</v>
      </c>
      <c r="K121" s="292"/>
      <c r="L121" s="278"/>
      <c r="M121" s="278"/>
      <c r="O121" s="489"/>
      <c r="P121" s="489"/>
      <c r="Q121" s="520"/>
      <c r="R121" s="520"/>
    </row>
    <row r="122" spans="1:18" ht="15" customHeight="1">
      <c r="A122" s="506" t="s">
        <v>329</v>
      </c>
      <c r="B122" s="344" t="s">
        <v>156</v>
      </c>
      <c r="C122" s="353">
        <v>6008</v>
      </c>
      <c r="D122" s="522"/>
      <c r="E122" s="351">
        <v>0</v>
      </c>
      <c r="F122" s="30" t="str">
        <f>IFERROR(VLOOKUP($C122,[19]Nod!$A$3:$E$986,4,FALSE)," ")</f>
        <v>LSA230</v>
      </c>
      <c r="G122" s="30">
        <f>IFERROR(VLOOKUP($C122,[19]Nod!$A$3:$E$986,5,FALSE)," ")</f>
        <v>5</v>
      </c>
      <c r="K122" s="292"/>
      <c r="L122" s="278"/>
      <c r="M122" s="278"/>
      <c r="O122" s="489"/>
      <c r="P122" s="489"/>
      <c r="Q122" s="520"/>
      <c r="R122" s="520"/>
    </row>
    <row r="123" spans="1:18" ht="15" customHeight="1">
      <c r="A123" s="506" t="s">
        <v>330</v>
      </c>
      <c r="B123" s="344" t="s">
        <v>156</v>
      </c>
      <c r="C123" s="353">
        <v>6008</v>
      </c>
      <c r="D123" s="522"/>
      <c r="E123" s="351">
        <v>0</v>
      </c>
      <c r="F123" s="30" t="str">
        <f>IFERROR(VLOOKUP($C123,[19]Nod!$A$3:$E$986,4,FALSE)," ")</f>
        <v>LSA230</v>
      </c>
      <c r="G123" s="30">
        <f>IFERROR(VLOOKUP($C123,[19]Nod!$A$3:$E$986,5,FALSE)," ")</f>
        <v>5</v>
      </c>
      <c r="K123" s="292"/>
      <c r="L123" s="278"/>
      <c r="M123" s="278"/>
      <c r="O123" s="489"/>
      <c r="P123" s="489"/>
      <c r="Q123" s="520"/>
      <c r="R123" s="520"/>
    </row>
    <row r="124" spans="1:18" ht="15" customHeight="1">
      <c r="A124" s="343" t="s">
        <v>243</v>
      </c>
      <c r="B124" s="344" t="s">
        <v>156</v>
      </c>
      <c r="C124" s="353">
        <v>6008</v>
      </c>
      <c r="D124" s="483">
        <v>8.5</v>
      </c>
      <c r="E124" s="351">
        <v>0</v>
      </c>
      <c r="F124" s="30" t="str">
        <f>IFERROR(VLOOKUP($C124,[19]Nod!$A$3:$E$986,4,FALSE)," ")</f>
        <v>LSA230</v>
      </c>
      <c r="G124" s="30">
        <f>IFERROR(VLOOKUP($C124,[19]Nod!$A$3:$E$986,5,FALSE)," ")</f>
        <v>5</v>
      </c>
      <c r="K124" s="292"/>
      <c r="L124" s="278"/>
      <c r="M124" s="278"/>
      <c r="O124" s="489"/>
      <c r="P124" s="489"/>
      <c r="Q124" s="520"/>
      <c r="R124" s="520"/>
    </row>
    <row r="125" spans="1:18" ht="15" customHeight="1">
      <c r="A125" s="343" t="s">
        <v>244</v>
      </c>
      <c r="B125" s="344" t="s">
        <v>156</v>
      </c>
      <c r="C125" s="353">
        <v>6008</v>
      </c>
      <c r="D125" s="483">
        <v>9.52</v>
      </c>
      <c r="E125" s="351">
        <v>0</v>
      </c>
      <c r="F125" s="30" t="str">
        <f>IFERROR(VLOOKUP($C125,[19]Nod!$A$3:$E$986,4,FALSE)," ")</f>
        <v>LSA230</v>
      </c>
      <c r="G125" s="30">
        <f>IFERROR(VLOOKUP($C125,[19]Nod!$A$3:$E$986,5,FALSE)," ")</f>
        <v>5</v>
      </c>
      <c r="K125" s="292"/>
      <c r="L125" s="278"/>
      <c r="M125" s="278"/>
      <c r="O125" s="489"/>
      <c r="P125" s="489"/>
      <c r="Q125" s="520"/>
      <c r="R125" s="520"/>
    </row>
    <row r="126" spans="1:18" ht="15" customHeight="1">
      <c r="A126" s="343" t="s">
        <v>245</v>
      </c>
      <c r="B126" s="344" t="s">
        <v>156</v>
      </c>
      <c r="C126" s="353">
        <v>6008</v>
      </c>
      <c r="D126" s="483">
        <v>10</v>
      </c>
      <c r="E126" s="351">
        <v>0</v>
      </c>
      <c r="F126" s="30" t="str">
        <f>IFERROR(VLOOKUP($C126,[19]Nod!$A$3:$E$986,4,FALSE)," ")</f>
        <v>LSA230</v>
      </c>
      <c r="G126" s="30">
        <f>IFERROR(VLOOKUP($C126,[19]Nod!$A$3:$E$986,5,FALSE)," ")</f>
        <v>5</v>
      </c>
      <c r="K126" s="292"/>
      <c r="L126" s="278"/>
      <c r="M126" s="278"/>
      <c r="O126" s="489"/>
      <c r="P126" s="489"/>
      <c r="Q126" s="520"/>
      <c r="R126" s="520"/>
    </row>
    <row r="127" spans="1:18" ht="15" customHeight="1">
      <c r="A127" s="343" t="s">
        <v>246</v>
      </c>
      <c r="B127" s="344" t="s">
        <v>156</v>
      </c>
      <c r="C127" s="353">
        <v>6008</v>
      </c>
      <c r="D127" s="483">
        <v>8.5</v>
      </c>
      <c r="E127" s="351">
        <v>0</v>
      </c>
      <c r="F127" s="30" t="str">
        <f>IFERROR(VLOOKUP($C127,[19]Nod!$A$3:$E$986,4,FALSE)," ")</f>
        <v>LSA230</v>
      </c>
      <c r="G127" s="30">
        <f>IFERROR(VLOOKUP($C127,[19]Nod!$A$3:$E$986,5,FALSE)," ")</f>
        <v>5</v>
      </c>
      <c r="K127" s="292"/>
      <c r="L127" s="278"/>
      <c r="M127" s="278"/>
      <c r="O127" s="489"/>
      <c r="P127" s="489"/>
      <c r="Q127" s="520"/>
      <c r="R127" s="520"/>
    </row>
    <row r="128" spans="1:18" ht="15" customHeight="1">
      <c r="A128" s="343" t="s">
        <v>247</v>
      </c>
      <c r="B128" s="344" t="s">
        <v>156</v>
      </c>
      <c r="C128" s="353">
        <v>6008</v>
      </c>
      <c r="D128" s="483">
        <v>10</v>
      </c>
      <c r="E128" s="351">
        <v>0</v>
      </c>
      <c r="F128" s="30" t="str">
        <f>IFERROR(VLOOKUP($C128,[19]Nod!$A$3:$E$986,4,FALSE)," ")</f>
        <v>LSA230</v>
      </c>
      <c r="G128" s="30">
        <f>IFERROR(VLOOKUP($C128,[19]Nod!$A$3:$E$986,5,FALSE)," ")</f>
        <v>5</v>
      </c>
      <c r="K128" s="292"/>
      <c r="L128" s="278"/>
      <c r="M128" s="278"/>
      <c r="O128" s="489"/>
      <c r="P128" s="489"/>
      <c r="Q128" s="520"/>
      <c r="R128" s="520"/>
    </row>
    <row r="129" spans="1:18" ht="15" customHeight="1">
      <c r="A129" s="343" t="s">
        <v>248</v>
      </c>
      <c r="B129" s="344" t="s">
        <v>156</v>
      </c>
      <c r="C129" s="353">
        <v>6008</v>
      </c>
      <c r="D129" s="483">
        <v>10</v>
      </c>
      <c r="E129" s="351">
        <v>0</v>
      </c>
      <c r="F129" s="30" t="str">
        <f>IFERROR(VLOOKUP($C129,[19]Nod!$A$3:$E$986,4,FALSE)," ")</f>
        <v>LSA230</v>
      </c>
      <c r="G129" s="30">
        <f>IFERROR(VLOOKUP($C129,[19]Nod!$A$3:$E$986,5,FALSE)," ")</f>
        <v>5</v>
      </c>
      <c r="K129" s="292"/>
      <c r="L129" s="278"/>
      <c r="M129" s="278"/>
      <c r="O129" s="489"/>
      <c r="P129" s="489"/>
      <c r="Q129" s="520"/>
      <c r="R129" s="520"/>
    </row>
    <row r="130" spans="1:18" ht="15" customHeight="1">
      <c r="A130" s="343" t="s">
        <v>249</v>
      </c>
      <c r="B130" s="344" t="s">
        <v>250</v>
      </c>
      <c r="C130" s="353">
        <v>6460</v>
      </c>
      <c r="D130" s="483">
        <v>17.5</v>
      </c>
      <c r="E130" s="351">
        <v>0</v>
      </c>
      <c r="F130" s="30" t="str">
        <f>IFERROR(VLOOKUP($C130,[19]Nod!$A$3:$E$986,4,FALSE)," ")</f>
        <v>ECO230</v>
      </c>
      <c r="G130" s="30">
        <f>IFERROR(VLOOKUP($C130,[19]Nod!$A$3:$E$986,5,FALSE)," ")</f>
        <v>5</v>
      </c>
      <c r="K130" s="292"/>
      <c r="L130" s="278"/>
      <c r="M130" s="278"/>
      <c r="O130" s="489"/>
      <c r="P130" s="489"/>
      <c r="Q130" s="520"/>
      <c r="R130" s="520"/>
    </row>
    <row r="131" spans="1:18" ht="15" customHeight="1">
      <c r="A131" s="343" t="s">
        <v>251</v>
      </c>
      <c r="B131" s="344" t="s">
        <v>250</v>
      </c>
      <c r="C131" s="353">
        <v>6460</v>
      </c>
      <c r="D131" s="483">
        <v>52.5</v>
      </c>
      <c r="E131" s="351">
        <v>0</v>
      </c>
      <c r="F131" s="30" t="str">
        <f>IFERROR(VLOOKUP($C131,[19]Nod!$A$3:$E$986,4,FALSE)," ")</f>
        <v>ECO230</v>
      </c>
      <c r="G131" s="30">
        <f>IFERROR(VLOOKUP($C131,[19]Nod!$A$3:$E$986,5,FALSE)," ")</f>
        <v>5</v>
      </c>
      <c r="K131" s="292"/>
      <c r="L131" s="278"/>
      <c r="M131" s="278"/>
      <c r="O131" s="489"/>
      <c r="P131" s="489"/>
      <c r="Q131" s="520"/>
      <c r="R131" s="520"/>
    </row>
    <row r="132" spans="1:18" ht="15" customHeight="1">
      <c r="A132" s="343" t="s">
        <v>252</v>
      </c>
      <c r="B132" s="344" t="s">
        <v>250</v>
      </c>
      <c r="C132" s="353">
        <v>6460</v>
      </c>
      <c r="D132" s="483">
        <v>55</v>
      </c>
      <c r="E132" s="351">
        <v>0</v>
      </c>
      <c r="F132" s="30" t="str">
        <f>IFERROR(VLOOKUP($C132,[19]Nod!$A$3:$E$986,4,FALSE)," ")</f>
        <v>ECO230</v>
      </c>
      <c r="G132" s="30">
        <f>IFERROR(VLOOKUP($C132,[19]Nod!$A$3:$E$986,5,FALSE)," ")</f>
        <v>5</v>
      </c>
      <c r="K132" s="292"/>
      <c r="L132" s="278"/>
      <c r="M132" s="278"/>
      <c r="O132" s="489"/>
      <c r="P132" s="489"/>
      <c r="Q132" s="520"/>
      <c r="R132" s="520"/>
    </row>
    <row r="133" spans="1:18" ht="15" customHeight="1">
      <c r="A133" s="343" t="s">
        <v>253</v>
      </c>
      <c r="B133" s="344" t="s">
        <v>250</v>
      </c>
      <c r="C133" s="353">
        <v>6460</v>
      </c>
      <c r="D133" s="483">
        <v>62.5</v>
      </c>
      <c r="E133" s="351">
        <v>0</v>
      </c>
      <c r="F133" s="30" t="str">
        <f>IFERROR(VLOOKUP($C133,[19]Nod!$A$3:$E$986,4,FALSE)," ")</f>
        <v>ECO230</v>
      </c>
      <c r="G133" s="30">
        <f>IFERROR(VLOOKUP($C133,[19]Nod!$A$3:$E$986,5,FALSE)," ")</f>
        <v>5</v>
      </c>
      <c r="K133" s="292"/>
      <c r="L133" s="278"/>
      <c r="M133" s="278"/>
      <c r="O133" s="489"/>
      <c r="P133" s="489"/>
      <c r="Q133" s="520"/>
      <c r="R133" s="520"/>
    </row>
    <row r="134" spans="1:18" ht="15" customHeight="1">
      <c r="A134" s="343" t="s">
        <v>254</v>
      </c>
      <c r="B134" s="344" t="s">
        <v>250</v>
      </c>
      <c r="C134" s="353">
        <v>6460</v>
      </c>
      <c r="D134" s="483">
        <v>32.5</v>
      </c>
      <c r="E134" s="351">
        <v>0</v>
      </c>
      <c r="F134" s="30" t="str">
        <f>IFERROR(VLOOKUP($C134,[19]Nod!$A$3:$E$986,4,FALSE)," ")</f>
        <v>ECO230</v>
      </c>
      <c r="G134" s="30">
        <f>IFERROR(VLOOKUP($C134,[19]Nod!$A$3:$E$986,5,FALSE)," ")</f>
        <v>5</v>
      </c>
      <c r="K134" s="292"/>
      <c r="L134" s="278"/>
      <c r="M134" s="278"/>
      <c r="O134" s="489"/>
      <c r="P134" s="489"/>
      <c r="Q134" s="520"/>
      <c r="R134" s="520"/>
    </row>
    <row r="135" spans="1:18" ht="15" customHeight="1">
      <c r="A135" s="343" t="s">
        <v>255</v>
      </c>
      <c r="B135" s="344" t="s">
        <v>250</v>
      </c>
      <c r="C135" s="353">
        <v>6460</v>
      </c>
      <c r="D135" s="483">
        <v>50</v>
      </c>
      <c r="E135" s="351">
        <v>0</v>
      </c>
      <c r="F135" s="30" t="str">
        <f>IFERROR(VLOOKUP($C135,[19]Nod!$A$3:$E$986,4,FALSE)," ")</f>
        <v>ECO230</v>
      </c>
      <c r="G135" s="30">
        <f>IFERROR(VLOOKUP($C135,[19]Nod!$A$3:$E$986,5,FALSE)," ")</f>
        <v>5</v>
      </c>
      <c r="K135" s="292"/>
      <c r="L135" s="278"/>
      <c r="M135" s="278"/>
      <c r="O135" s="489"/>
      <c r="P135" s="489"/>
      <c r="Q135" s="520"/>
      <c r="R135" s="520"/>
    </row>
    <row r="136" spans="1:18" ht="15" customHeight="1">
      <c r="A136" s="343" t="s">
        <v>256</v>
      </c>
      <c r="B136" s="344" t="s">
        <v>156</v>
      </c>
      <c r="C136" s="353">
        <v>6008</v>
      </c>
      <c r="D136" s="483">
        <v>16</v>
      </c>
      <c r="E136" s="351">
        <v>0</v>
      </c>
      <c r="F136" s="30" t="str">
        <f>IFERROR(VLOOKUP($C136,[19]Nod!$A$3:$E$986,4,FALSE)," ")</f>
        <v>LSA230</v>
      </c>
      <c r="G136" s="30">
        <f>IFERROR(VLOOKUP($C136,[19]Nod!$A$3:$E$986,5,FALSE)," ")</f>
        <v>5</v>
      </c>
      <c r="K136" s="292"/>
      <c r="L136" s="278"/>
      <c r="M136" s="278"/>
      <c r="O136" s="489"/>
      <c r="P136" s="489"/>
      <c r="Q136" s="520"/>
      <c r="R136" s="520"/>
    </row>
    <row r="137" spans="1:18" ht="15" customHeight="1">
      <c r="A137" s="343" t="s">
        <v>257</v>
      </c>
      <c r="B137" s="344" t="s">
        <v>156</v>
      </c>
      <c r="C137" s="353">
        <v>6008</v>
      </c>
      <c r="D137" s="483">
        <v>5.66</v>
      </c>
      <c r="E137" s="351">
        <v>0</v>
      </c>
      <c r="F137" s="30" t="str">
        <f>IFERROR(VLOOKUP($C137,[19]Nod!$A$3:$E$986,4,FALSE)," ")</f>
        <v>LSA230</v>
      </c>
      <c r="G137" s="30">
        <f>IFERROR(VLOOKUP($C137,[19]Nod!$A$3:$E$986,5,FALSE)," ")</f>
        <v>5</v>
      </c>
      <c r="K137" s="292"/>
      <c r="L137" s="278"/>
      <c r="M137" s="278"/>
      <c r="O137" s="489"/>
      <c r="P137" s="489"/>
      <c r="Q137" s="520"/>
      <c r="R137" s="520"/>
    </row>
    <row r="138" spans="1:18" ht="15" customHeight="1">
      <c r="A138" s="343" t="s">
        <v>142</v>
      </c>
      <c r="B138" s="344" t="s">
        <v>156</v>
      </c>
      <c r="C138" s="352">
        <v>6008</v>
      </c>
      <c r="D138" s="483">
        <v>9.9</v>
      </c>
      <c r="E138" s="351">
        <v>0</v>
      </c>
      <c r="F138" s="30" t="str">
        <f>IFERROR(VLOOKUP($C138,[19]Nod!$A$3:$E$986,4,FALSE)," ")</f>
        <v>LSA230</v>
      </c>
      <c r="G138" s="30">
        <f>IFERROR(VLOOKUP($C138,[19]Nod!$A$3:$E$986,5,FALSE)," ")</f>
        <v>5</v>
      </c>
      <c r="K138" s="292"/>
      <c r="L138" s="278"/>
      <c r="M138" s="278"/>
      <c r="O138" s="489"/>
      <c r="P138" s="489"/>
      <c r="Q138" s="520"/>
      <c r="R138" s="520"/>
    </row>
    <row r="139" spans="1:18" ht="15" customHeight="1">
      <c r="A139" s="343" t="s">
        <v>258</v>
      </c>
      <c r="B139" s="344" t="s">
        <v>156</v>
      </c>
      <c r="C139" s="352">
        <v>6008</v>
      </c>
      <c r="D139" s="522"/>
      <c r="E139" s="351">
        <v>0</v>
      </c>
      <c r="F139" s="30" t="str">
        <f>IFERROR(VLOOKUP($C139,[19]Nod!$A$3:$E$986,4,FALSE)," ")</f>
        <v>LSA230</v>
      </c>
      <c r="G139" s="30">
        <f>IFERROR(VLOOKUP($C139,[19]Nod!$A$3:$E$986,5,FALSE)," ")</f>
        <v>5</v>
      </c>
      <c r="K139" s="292"/>
      <c r="L139" s="278"/>
      <c r="M139" s="278"/>
      <c r="O139" s="489"/>
      <c r="P139" s="489"/>
      <c r="Q139" s="520"/>
      <c r="R139" s="520"/>
    </row>
    <row r="140" spans="1:18" ht="15" customHeight="1">
      <c r="A140" s="343" t="s">
        <v>259</v>
      </c>
      <c r="B140" s="344" t="s">
        <v>156</v>
      </c>
      <c r="C140" s="352">
        <v>6008</v>
      </c>
      <c r="D140" s="483">
        <v>120</v>
      </c>
      <c r="E140" s="351">
        <v>0</v>
      </c>
      <c r="F140" s="30" t="str">
        <f>IFERROR(VLOOKUP($C140,[19]Nod!$A$3:$E$986,4,FALSE)," ")</f>
        <v>LSA230</v>
      </c>
      <c r="G140" s="30">
        <f>IFERROR(VLOOKUP($C140,[19]Nod!$A$3:$E$986,5,FALSE)," ")</f>
        <v>5</v>
      </c>
      <c r="K140" s="292"/>
      <c r="L140" s="278"/>
      <c r="M140" s="278"/>
      <c r="O140" s="489"/>
      <c r="P140" s="489"/>
      <c r="Q140" s="520"/>
      <c r="R140" s="520"/>
    </row>
    <row r="141" spans="1:18" ht="15" customHeight="1">
      <c r="A141" s="343" t="s">
        <v>260</v>
      </c>
      <c r="B141" s="344" t="s">
        <v>156</v>
      </c>
      <c r="C141" s="352">
        <v>6008</v>
      </c>
      <c r="D141" s="483">
        <v>9.9700000000000006</v>
      </c>
      <c r="E141" s="351">
        <v>0</v>
      </c>
      <c r="F141" s="30" t="str">
        <f>IFERROR(VLOOKUP($C141,[19]Nod!$A$3:$E$986,4,FALSE)," ")</f>
        <v>LSA230</v>
      </c>
      <c r="G141" s="30">
        <f>IFERROR(VLOOKUP($C141,[19]Nod!$A$3:$E$986,5,FALSE)," ")</f>
        <v>5</v>
      </c>
      <c r="K141" s="292"/>
      <c r="L141" s="278"/>
      <c r="M141" s="278"/>
      <c r="O141" s="489"/>
      <c r="P141" s="489"/>
      <c r="Q141" s="520"/>
      <c r="R141" s="520"/>
    </row>
    <row r="142" spans="1:18" ht="15" customHeight="1">
      <c r="A142" s="343" t="s">
        <v>261</v>
      </c>
      <c r="B142" s="344" t="s">
        <v>156</v>
      </c>
      <c r="C142" s="352">
        <v>6008</v>
      </c>
      <c r="D142" s="483">
        <v>9.9700000000000006</v>
      </c>
      <c r="E142" s="351">
        <v>0</v>
      </c>
      <c r="F142" s="30" t="str">
        <f>IFERROR(VLOOKUP($C142,[19]Nod!$A$3:$E$986,4,FALSE)," ")</f>
        <v>LSA230</v>
      </c>
      <c r="G142" s="30">
        <f>IFERROR(VLOOKUP($C142,[19]Nod!$A$3:$E$986,5,FALSE)," ")</f>
        <v>5</v>
      </c>
      <c r="K142" s="292"/>
      <c r="L142" s="278"/>
      <c r="M142" s="278"/>
      <c r="O142" s="489"/>
      <c r="P142" s="489"/>
      <c r="Q142" s="520"/>
      <c r="R142" s="520"/>
    </row>
    <row r="143" spans="1:18" ht="15" customHeight="1">
      <c r="A143" s="343" t="s">
        <v>331</v>
      </c>
      <c r="B143" s="344" t="s">
        <v>156</v>
      </c>
      <c r="C143" s="352">
        <v>6008</v>
      </c>
      <c r="D143" s="483">
        <v>9.8800000000000008</v>
      </c>
      <c r="E143" s="351">
        <v>0</v>
      </c>
      <c r="F143" s="30" t="str">
        <f>IFERROR(VLOOKUP($C143,[19]Nod!$A$3:$E$986,4,FALSE)," ")</f>
        <v>LSA230</v>
      </c>
      <c r="G143" s="30">
        <f>IFERROR(VLOOKUP($C143,[19]Nod!$A$3:$E$986,5,FALSE)," ")</f>
        <v>5</v>
      </c>
      <c r="K143" s="292"/>
      <c r="L143" s="278"/>
      <c r="M143" s="278"/>
      <c r="O143" s="489"/>
      <c r="P143" s="489"/>
      <c r="Q143" s="520"/>
      <c r="R143" s="520"/>
    </row>
    <row r="144" spans="1:18" ht="15" customHeight="1">
      <c r="A144" s="343" t="s">
        <v>332</v>
      </c>
      <c r="B144" s="344" t="s">
        <v>156</v>
      </c>
      <c r="C144" s="352">
        <v>6008</v>
      </c>
      <c r="D144" s="483">
        <v>5.61</v>
      </c>
      <c r="E144" s="351">
        <v>0</v>
      </c>
      <c r="F144" s="30" t="str">
        <f>IFERROR(VLOOKUP($C144,[19]Nod!$A$3:$E$986,4,FALSE)," ")</f>
        <v>LSA230</v>
      </c>
      <c r="G144" s="30">
        <f>IFERROR(VLOOKUP($C144,[19]Nod!$A$3:$E$986,5,FALSE)," ")</f>
        <v>5</v>
      </c>
      <c r="K144" s="292"/>
      <c r="L144" s="278"/>
      <c r="M144" s="278"/>
      <c r="O144" s="489"/>
      <c r="P144" s="489"/>
      <c r="Q144" s="520"/>
      <c r="R144" s="520"/>
    </row>
    <row r="145" spans="1:18" ht="15" customHeight="1">
      <c r="A145" s="343" t="s">
        <v>347</v>
      </c>
      <c r="B145" s="344" t="s">
        <v>156</v>
      </c>
      <c r="C145" s="352">
        <v>6008</v>
      </c>
      <c r="D145" s="523">
        <v>5.8</v>
      </c>
      <c r="E145" s="351">
        <v>0</v>
      </c>
      <c r="F145" s="30" t="str">
        <f>IFERROR(VLOOKUP($C145,[19]Nod!$A$3:$E$986,4,FALSE)," ")</f>
        <v>LSA230</v>
      </c>
      <c r="G145" s="30">
        <f>IFERROR(VLOOKUP($C145,[19]Nod!$A$3:$E$986,5,FALSE)," ")</f>
        <v>5</v>
      </c>
      <c r="K145" s="292"/>
      <c r="L145" s="278"/>
      <c r="M145" s="278"/>
      <c r="O145" s="489"/>
      <c r="P145" s="489"/>
      <c r="Q145" s="520"/>
      <c r="R145" s="520"/>
    </row>
    <row r="146" spans="1:18" ht="15" customHeight="1">
      <c r="A146" s="343" t="s">
        <v>334</v>
      </c>
      <c r="B146" s="344" t="s">
        <v>156</v>
      </c>
      <c r="C146" s="352">
        <v>6008</v>
      </c>
      <c r="D146" s="523">
        <v>6.02</v>
      </c>
      <c r="E146" s="351">
        <v>0</v>
      </c>
      <c r="F146" s="30" t="str">
        <f>IFERROR(VLOOKUP($C146,[19]Nod!$A$3:$E$986,4,FALSE)," ")</f>
        <v>LSA230</v>
      </c>
      <c r="G146" s="30">
        <f>IFERROR(VLOOKUP($C146,[19]Nod!$A$3:$E$986,5,FALSE)," ")</f>
        <v>5</v>
      </c>
      <c r="K146" s="292"/>
      <c r="L146" s="278"/>
      <c r="M146" s="278"/>
      <c r="O146" s="489"/>
      <c r="P146" s="489"/>
      <c r="Q146" s="520"/>
      <c r="R146" s="520"/>
    </row>
    <row r="147" spans="1:18" ht="15" customHeight="1">
      <c r="A147" s="343" t="s">
        <v>262</v>
      </c>
      <c r="B147" s="344" t="s">
        <v>156</v>
      </c>
      <c r="C147" s="352">
        <v>6008</v>
      </c>
      <c r="D147" s="483">
        <v>11.7</v>
      </c>
      <c r="E147" s="351">
        <v>0</v>
      </c>
      <c r="F147" s="30" t="str">
        <f>IFERROR(VLOOKUP($C147,[19]Nod!$A$3:$E$986,4,FALSE)," ")</f>
        <v>LSA230</v>
      </c>
      <c r="G147" s="30">
        <f>IFERROR(VLOOKUP($C147,[19]Nod!$A$3:$E$986,5,FALSE)," ")</f>
        <v>5</v>
      </c>
      <c r="K147" s="292"/>
      <c r="L147" s="278"/>
      <c r="M147" s="278"/>
      <c r="O147" s="489"/>
      <c r="P147" s="489"/>
      <c r="Q147" s="520"/>
      <c r="R147" s="520"/>
    </row>
    <row r="148" spans="1:18" ht="15" customHeight="1">
      <c r="A148" s="343" t="s">
        <v>263</v>
      </c>
      <c r="B148" s="344" t="s">
        <v>156</v>
      </c>
      <c r="C148" s="352">
        <v>6008</v>
      </c>
      <c r="D148" s="483">
        <v>7.56</v>
      </c>
      <c r="E148" s="351">
        <v>0</v>
      </c>
      <c r="F148" s="30" t="str">
        <f>IFERROR(VLOOKUP($C148,[19]Nod!$A$3:$E$986,4,FALSE)," ")</f>
        <v>LSA230</v>
      </c>
      <c r="G148" s="30">
        <f>IFERROR(VLOOKUP($C148,[19]Nod!$A$3:$E$986,5,FALSE)," ")</f>
        <v>5</v>
      </c>
      <c r="K148" s="292"/>
      <c r="L148" s="278"/>
      <c r="M148" s="278"/>
      <c r="O148" s="489"/>
      <c r="P148" s="489"/>
      <c r="Q148" s="520"/>
      <c r="R148" s="520"/>
    </row>
    <row r="149" spans="1:18" ht="15" customHeight="1">
      <c r="A149" s="343" t="s">
        <v>264</v>
      </c>
      <c r="B149" s="344" t="s">
        <v>156</v>
      </c>
      <c r="C149" s="352">
        <v>6008</v>
      </c>
      <c r="D149" s="483">
        <v>9.99</v>
      </c>
      <c r="E149" s="351">
        <v>0</v>
      </c>
      <c r="F149" s="30" t="str">
        <f>IFERROR(VLOOKUP($C149,[19]Nod!$A$3:$E$986,4,FALSE)," ")</f>
        <v>LSA230</v>
      </c>
      <c r="G149" s="30">
        <f>IFERROR(VLOOKUP($C149,[19]Nod!$A$3:$E$986,5,FALSE)," ")</f>
        <v>5</v>
      </c>
      <c r="K149" s="292"/>
      <c r="L149" s="278"/>
      <c r="M149" s="278"/>
      <c r="O149" s="489"/>
      <c r="P149" s="489"/>
      <c r="Q149" s="520"/>
      <c r="R149" s="520"/>
    </row>
    <row r="150" spans="1:18" ht="15" customHeight="1">
      <c r="A150" s="346" t="s">
        <v>265</v>
      </c>
      <c r="B150" s="344" t="s">
        <v>156</v>
      </c>
      <c r="C150" s="352">
        <v>6460</v>
      </c>
      <c r="D150" s="485">
        <v>9.9</v>
      </c>
      <c r="E150" s="351">
        <v>0</v>
      </c>
      <c r="F150" s="30" t="str">
        <f>IFERROR(VLOOKUP($C150,[19]Nod!$A$3:$E$986,4,FALSE)," ")</f>
        <v>ECO230</v>
      </c>
      <c r="G150" s="30">
        <f>IFERROR(VLOOKUP($C150,[19]Nod!$A$3:$E$986,5,FALSE)," ")</f>
        <v>5</v>
      </c>
      <c r="K150" s="292"/>
      <c r="L150" s="278"/>
      <c r="M150" s="278"/>
      <c r="O150" s="489"/>
      <c r="P150" s="489"/>
      <c r="Q150" s="520"/>
      <c r="R150" s="520"/>
    </row>
    <row r="151" spans="1:18" ht="15" customHeight="1">
      <c r="A151" s="343" t="s">
        <v>266</v>
      </c>
      <c r="B151" s="344" t="s">
        <v>156</v>
      </c>
      <c r="C151" s="352">
        <v>6008</v>
      </c>
      <c r="D151" s="483">
        <v>12.5</v>
      </c>
      <c r="E151" s="351">
        <v>0</v>
      </c>
      <c r="F151" s="30" t="str">
        <f>IFERROR(VLOOKUP($C151,[19]Nod!$A$3:$E$986,4,FALSE)," ")</f>
        <v>LSA230</v>
      </c>
      <c r="G151" s="30">
        <f>IFERROR(VLOOKUP($C151,[19]Nod!$A$3:$E$986,5,FALSE)," ")</f>
        <v>5</v>
      </c>
      <c r="K151" s="292"/>
      <c r="L151" s="278"/>
      <c r="M151" s="278"/>
      <c r="O151" s="489"/>
      <c r="P151" s="489"/>
      <c r="Q151" s="520"/>
      <c r="R151" s="520"/>
    </row>
    <row r="152" spans="1:18" ht="15" customHeight="1">
      <c r="A152" s="346" t="s">
        <v>267</v>
      </c>
      <c r="B152" s="344" t="s">
        <v>156</v>
      </c>
      <c r="C152" s="352">
        <v>6008</v>
      </c>
      <c r="D152" s="485">
        <v>7.5</v>
      </c>
      <c r="E152" s="351">
        <v>0</v>
      </c>
      <c r="F152" s="30" t="str">
        <f>IFERROR(VLOOKUP($C152,[19]Nod!$A$3:$E$986,4,FALSE)," ")</f>
        <v>LSA230</v>
      </c>
      <c r="G152" s="30">
        <f>IFERROR(VLOOKUP($C152,[19]Nod!$A$3:$E$986,5,FALSE)," ")</f>
        <v>5</v>
      </c>
      <c r="K152" s="292"/>
      <c r="L152" s="278"/>
      <c r="M152" s="278"/>
      <c r="O152" s="489"/>
      <c r="P152" s="489"/>
      <c r="Q152" s="520"/>
      <c r="R152" s="520"/>
    </row>
    <row r="153" spans="1:18" ht="15" customHeight="1">
      <c r="A153" s="346" t="s">
        <v>268</v>
      </c>
      <c r="B153" s="344" t="s">
        <v>156</v>
      </c>
      <c r="C153" s="352">
        <v>6008</v>
      </c>
      <c r="D153" s="485">
        <v>9.99</v>
      </c>
      <c r="E153" s="351">
        <v>0</v>
      </c>
      <c r="F153" s="30" t="str">
        <f>IFERROR(VLOOKUP($C153,[19]Nod!$A$3:$E$986,4,FALSE)," ")</f>
        <v>LSA230</v>
      </c>
      <c r="G153" s="30">
        <f>IFERROR(VLOOKUP($C153,[19]Nod!$A$3:$E$986,5,FALSE)," ")</f>
        <v>5</v>
      </c>
      <c r="K153" s="292"/>
      <c r="L153" s="278"/>
      <c r="M153" s="278"/>
      <c r="O153" s="489"/>
      <c r="P153" s="489"/>
      <c r="Q153" s="520"/>
      <c r="R153" s="520"/>
    </row>
    <row r="154" spans="1:18" ht="15" customHeight="1">
      <c r="A154" s="346" t="s">
        <v>269</v>
      </c>
      <c r="B154" s="344" t="s">
        <v>156</v>
      </c>
      <c r="C154" s="352">
        <v>6008</v>
      </c>
      <c r="D154" s="353">
        <v>9.9</v>
      </c>
      <c r="E154" s="351">
        <v>0</v>
      </c>
      <c r="F154" s="30" t="str">
        <f>IFERROR(VLOOKUP($C154,[19]Nod!$A$3:$E$986,4,FALSE)," ")</f>
        <v>LSA230</v>
      </c>
      <c r="G154" s="30">
        <f>IFERROR(VLOOKUP($C154,[19]Nod!$A$3:$E$986,5,FALSE)," ")</f>
        <v>5</v>
      </c>
      <c r="K154" s="292"/>
      <c r="L154" s="278"/>
      <c r="M154" s="278"/>
      <c r="O154" s="489"/>
      <c r="P154" s="489"/>
      <c r="Q154" s="520"/>
      <c r="R154" s="520"/>
    </row>
    <row r="155" spans="1:18" ht="15" customHeight="1">
      <c r="A155" s="346" t="s">
        <v>270</v>
      </c>
      <c r="B155" s="344" t="s">
        <v>156</v>
      </c>
      <c r="C155" s="352">
        <v>6008</v>
      </c>
      <c r="D155" s="521"/>
      <c r="E155" s="351">
        <v>0</v>
      </c>
      <c r="F155" s="30" t="str">
        <f>IFERROR(VLOOKUP($C155,[19]Nod!$A$3:$E$986,4,FALSE)," ")</f>
        <v>LSA230</v>
      </c>
      <c r="G155" s="30">
        <f>IFERROR(VLOOKUP($C155,[19]Nod!$A$3:$E$986,5,FALSE)," ")</f>
        <v>5</v>
      </c>
      <c r="K155" s="292"/>
      <c r="L155" s="278"/>
      <c r="M155" s="278"/>
      <c r="O155" s="489"/>
      <c r="P155" s="489"/>
      <c r="Q155" s="520"/>
      <c r="R155" s="520"/>
    </row>
    <row r="156" spans="1:18" ht="15" customHeight="1">
      <c r="A156" s="346" t="s">
        <v>271</v>
      </c>
      <c r="B156" s="344" t="s">
        <v>156</v>
      </c>
      <c r="C156" s="352">
        <v>6008</v>
      </c>
      <c r="D156" s="353">
        <v>12</v>
      </c>
      <c r="E156" s="351">
        <v>0</v>
      </c>
      <c r="F156" s="30" t="str">
        <f>IFERROR(VLOOKUP($C156,[19]Nod!$A$3:$E$986,4,FALSE)," ")</f>
        <v>LSA230</v>
      </c>
      <c r="G156" s="30">
        <f>IFERROR(VLOOKUP($C156,[19]Nod!$A$3:$E$986,5,FALSE)," ")</f>
        <v>5</v>
      </c>
      <c r="K156" s="292"/>
      <c r="L156" s="278"/>
      <c r="M156" s="278"/>
      <c r="O156" s="489"/>
      <c r="P156" s="489"/>
      <c r="Q156" s="520"/>
      <c r="R156" s="520"/>
    </row>
    <row r="157" spans="1:18" ht="15" customHeight="1">
      <c r="A157" s="347" t="s">
        <v>335</v>
      </c>
      <c r="B157" s="344" t="s">
        <v>156</v>
      </c>
      <c r="C157" s="352">
        <v>6008</v>
      </c>
      <c r="D157" s="524">
        <v>0.59</v>
      </c>
      <c r="E157" s="351">
        <v>0</v>
      </c>
      <c r="F157" s="30" t="str">
        <f>IFERROR(VLOOKUP($C157,[19]Nod!$A$3:$E$986,4,FALSE)," ")</f>
        <v>LSA230</v>
      </c>
      <c r="G157" s="30">
        <f>IFERROR(VLOOKUP($C157,[19]Nod!$A$3:$E$986,5,FALSE)," ")</f>
        <v>5</v>
      </c>
      <c r="K157" s="292"/>
      <c r="L157" s="278"/>
      <c r="M157" s="278"/>
      <c r="O157" s="489"/>
      <c r="P157" s="489"/>
      <c r="Q157" s="520"/>
      <c r="R157" s="520"/>
    </row>
    <row r="158" spans="1:18" ht="15" customHeight="1">
      <c r="A158" s="347" t="s">
        <v>272</v>
      </c>
      <c r="B158" s="344" t="s">
        <v>156</v>
      </c>
      <c r="C158" s="352">
        <v>6008</v>
      </c>
      <c r="D158" s="353">
        <v>8.5</v>
      </c>
      <c r="E158" s="351">
        <v>0</v>
      </c>
      <c r="F158" s="30" t="str">
        <f>IFERROR(VLOOKUP($C158,[19]Nod!$A$3:$E$986,4,FALSE)," ")</f>
        <v>LSA230</v>
      </c>
      <c r="G158" s="30">
        <f>IFERROR(VLOOKUP($C158,[19]Nod!$A$3:$E$986,5,FALSE)," ")</f>
        <v>5</v>
      </c>
      <c r="K158" s="292"/>
      <c r="L158" s="278"/>
      <c r="M158" s="278"/>
      <c r="O158" s="489"/>
      <c r="P158" s="489"/>
      <c r="Q158" s="520"/>
      <c r="R158" s="520"/>
    </row>
    <row r="159" spans="1:18" ht="15" customHeight="1">
      <c r="A159" s="347" t="s">
        <v>273</v>
      </c>
      <c r="B159" s="344" t="s">
        <v>156</v>
      </c>
      <c r="C159" s="352">
        <v>6008</v>
      </c>
      <c r="D159" s="353">
        <v>7.74</v>
      </c>
      <c r="E159" s="351">
        <v>0</v>
      </c>
      <c r="F159" s="30" t="str">
        <f>IFERROR(VLOOKUP($C159,[19]Nod!$A$3:$E$986,4,FALSE)," ")</f>
        <v>LSA230</v>
      </c>
      <c r="G159" s="30">
        <f>IFERROR(VLOOKUP($C159,[19]Nod!$A$3:$E$986,5,FALSE)," ")</f>
        <v>5</v>
      </c>
      <c r="K159" s="292"/>
      <c r="L159" s="278"/>
      <c r="M159" s="278"/>
      <c r="O159" s="489"/>
      <c r="P159" s="489"/>
      <c r="Q159" s="520"/>
      <c r="R159" s="520"/>
    </row>
    <row r="160" spans="1:18" ht="15" customHeight="1">
      <c r="A160" s="347" t="s">
        <v>274</v>
      </c>
      <c r="B160" s="344" t="s">
        <v>156</v>
      </c>
      <c r="C160" s="352">
        <v>6008</v>
      </c>
      <c r="D160" s="353">
        <v>9.9</v>
      </c>
      <c r="E160" s="351">
        <v>0</v>
      </c>
      <c r="F160" s="30" t="str">
        <f>IFERROR(VLOOKUP($C160,[19]Nod!$A$3:$E$986,4,FALSE)," ")</f>
        <v>LSA230</v>
      </c>
      <c r="G160" s="30">
        <f>IFERROR(VLOOKUP($C160,[19]Nod!$A$3:$E$986,5,FALSE)," ")</f>
        <v>5</v>
      </c>
      <c r="K160" s="292"/>
      <c r="L160" s="278"/>
      <c r="M160" s="278"/>
      <c r="O160" s="489"/>
      <c r="P160" s="489"/>
      <c r="Q160" s="520"/>
      <c r="R160" s="520"/>
    </row>
    <row r="161" spans="1:18" ht="15" customHeight="1">
      <c r="A161" s="347" t="s">
        <v>275</v>
      </c>
      <c r="B161" s="344" t="s">
        <v>156</v>
      </c>
      <c r="C161" s="352">
        <v>6008</v>
      </c>
      <c r="D161" s="353">
        <v>9.9</v>
      </c>
      <c r="E161" s="351">
        <v>0</v>
      </c>
      <c r="F161" s="30" t="str">
        <f>IFERROR(VLOOKUP($C161,[19]Nod!$A$3:$E$986,4,FALSE)," ")</f>
        <v>LSA230</v>
      </c>
      <c r="G161" s="30">
        <f>IFERROR(VLOOKUP($C161,[19]Nod!$A$3:$E$986,5,FALSE)," ")</f>
        <v>5</v>
      </c>
      <c r="K161" s="292"/>
      <c r="L161" s="278"/>
      <c r="M161" s="278"/>
      <c r="O161" s="489"/>
      <c r="P161" s="489"/>
      <c r="Q161" s="520"/>
      <c r="R161" s="520"/>
    </row>
    <row r="162" spans="1:18" ht="15" customHeight="1">
      <c r="A162" s="347" t="s">
        <v>276</v>
      </c>
      <c r="B162" s="344" t="s">
        <v>156</v>
      </c>
      <c r="C162" s="352">
        <v>6008</v>
      </c>
      <c r="D162" s="353">
        <v>9.9</v>
      </c>
      <c r="E162" s="351">
        <v>0</v>
      </c>
      <c r="F162" s="30" t="str">
        <f>IFERROR(VLOOKUP($C162,[19]Nod!$A$3:$E$986,4,FALSE)," ")</f>
        <v>LSA230</v>
      </c>
      <c r="G162" s="30">
        <f>IFERROR(VLOOKUP($C162,[19]Nod!$A$3:$E$986,5,FALSE)," ")</f>
        <v>5</v>
      </c>
      <c r="K162" s="292"/>
      <c r="L162" s="278"/>
      <c r="M162" s="278"/>
      <c r="O162" s="489"/>
      <c r="P162" s="489"/>
      <c r="Q162" s="520"/>
      <c r="R162" s="520"/>
    </row>
    <row r="163" spans="1:18" ht="15" customHeight="1">
      <c r="A163" s="347" t="s">
        <v>277</v>
      </c>
      <c r="B163" s="344" t="s">
        <v>156</v>
      </c>
      <c r="C163" s="352">
        <v>6008</v>
      </c>
      <c r="D163" s="353">
        <v>9.99</v>
      </c>
      <c r="E163" s="353">
        <v>0</v>
      </c>
      <c r="F163" s="30" t="str">
        <f>IFERROR(VLOOKUP($C163,[19]Nod!$A$3:$E$986,4,FALSE)," ")</f>
        <v>LSA230</v>
      </c>
      <c r="G163" s="30">
        <f>IFERROR(VLOOKUP($C163,[19]Nod!$A$3:$E$986,5,FALSE)," ")</f>
        <v>5</v>
      </c>
      <c r="K163" s="292"/>
      <c r="L163" s="278"/>
      <c r="M163" s="278"/>
      <c r="O163" s="489"/>
      <c r="P163" s="489"/>
      <c r="Q163" s="520"/>
      <c r="R163" s="520"/>
    </row>
    <row r="164" spans="1:18" ht="14.25" customHeight="1">
      <c r="A164" s="347" t="s">
        <v>278</v>
      </c>
      <c r="B164" s="344" t="s">
        <v>212</v>
      </c>
      <c r="C164" s="352">
        <v>6008</v>
      </c>
      <c r="D164" s="353">
        <v>100</v>
      </c>
      <c r="E164" s="353">
        <v>0</v>
      </c>
      <c r="F164" s="30" t="str">
        <f>IFERROR(VLOOKUP($C164,[19]Nod!$A$3:$E$986,4,FALSE)," ")</f>
        <v>LSA230</v>
      </c>
      <c r="G164" s="30">
        <f>IFERROR(VLOOKUP($C164,[19]Nod!$A$3:$E$986,5,FALSE)," ")</f>
        <v>5</v>
      </c>
      <c r="K164" s="292"/>
      <c r="L164" s="278"/>
      <c r="M164" s="278"/>
      <c r="O164" s="489"/>
      <c r="P164" s="489"/>
      <c r="Q164" s="520"/>
      <c r="R164" s="520"/>
    </row>
    <row r="165" spans="1:18" ht="15" customHeight="1">
      <c r="A165" s="460" t="s">
        <v>31</v>
      </c>
      <c r="B165" s="445"/>
      <c r="C165" s="446"/>
      <c r="D165" s="446"/>
      <c r="E165" s="461"/>
      <c r="K165" s="292"/>
      <c r="L165" s="278"/>
      <c r="M165" s="278"/>
      <c r="O165" s="489"/>
      <c r="P165" s="489"/>
      <c r="Q165" s="520"/>
      <c r="R165" s="520"/>
    </row>
    <row r="166" spans="1:18" ht="15" customHeight="1">
      <c r="A166" s="45">
        <v>6</v>
      </c>
      <c r="B166" s="42"/>
      <c r="C166" s="43"/>
      <c r="D166" s="297">
        <f>SUM(D167:D187)</f>
        <v>451.46</v>
      </c>
      <c r="E166" s="294"/>
      <c r="F166" s="30" t="str">
        <f>IFERROR(VLOOKUP($C166,[19]Nod!$A$3:$E$986,4,FALSE)," ")</f>
        <v xml:space="preserve"> </v>
      </c>
      <c r="G166" s="30" t="str">
        <f>IFERROR(VLOOKUP($C166,[19]Nod!$A$3:$E$986,5,FALSE)," ")</f>
        <v xml:space="preserve"> </v>
      </c>
      <c r="K166" s="292"/>
      <c r="L166" s="278"/>
      <c r="M166" s="278"/>
      <c r="O166" s="489"/>
      <c r="P166" s="489"/>
      <c r="Q166" s="520"/>
      <c r="R166" s="520"/>
    </row>
    <row r="167" spans="1:18" ht="15" customHeight="1">
      <c r="A167" s="343" t="s">
        <v>279</v>
      </c>
      <c r="B167" s="344" t="s">
        <v>212</v>
      </c>
      <c r="C167" s="349">
        <v>6005</v>
      </c>
      <c r="D167" s="486">
        <v>147</v>
      </c>
      <c r="E167" s="351">
        <v>0</v>
      </c>
      <c r="F167" s="30" t="str">
        <f>IFERROR(VLOOKUP($C167,[19]Nod!$A$3:$E$986,4,FALSE)," ")</f>
        <v>CHO230</v>
      </c>
      <c r="G167" s="30">
        <f>IFERROR(VLOOKUP($C167,[19]Nod!$A$3:$E$986,5,FALSE)," ")</f>
        <v>6</v>
      </c>
      <c r="K167" s="292"/>
      <c r="L167" s="278"/>
      <c r="M167" s="278"/>
      <c r="O167" s="489"/>
      <c r="P167" s="489"/>
      <c r="Q167" s="520"/>
      <c r="R167" s="520"/>
    </row>
    <row r="168" spans="1:18" ht="15" customHeight="1">
      <c r="A168" s="343" t="s">
        <v>280</v>
      </c>
      <c r="B168" s="344" t="s">
        <v>156</v>
      </c>
      <c r="C168" s="467">
        <v>6240</v>
      </c>
      <c r="D168" s="522"/>
      <c r="E168" s="351">
        <v>0</v>
      </c>
      <c r="F168" s="30" t="str">
        <f>IFERROR(VLOOKUP($C168,[19]Nod!$A$3:$E$986,4,FALSE)," ")</f>
        <v>EHIG230</v>
      </c>
      <c r="G168" s="30">
        <f>IFERROR(VLOOKUP($C168,[19]Nod!$A$3:$E$986,5,FALSE)," ")</f>
        <v>6</v>
      </c>
      <c r="K168" s="292"/>
      <c r="L168" s="278"/>
      <c r="M168" s="278"/>
      <c r="O168" s="489"/>
      <c r="P168" s="489"/>
      <c r="Q168" s="520"/>
      <c r="R168" s="520"/>
    </row>
    <row r="169" spans="1:18" ht="15" customHeight="1">
      <c r="A169" s="343" t="s">
        <v>281</v>
      </c>
      <c r="B169" s="344" t="s">
        <v>156</v>
      </c>
      <c r="C169" s="467">
        <v>6005</v>
      </c>
      <c r="D169" s="522"/>
      <c r="E169" s="351">
        <v>0</v>
      </c>
      <c r="F169" s="30" t="str">
        <f>IFERROR(VLOOKUP($C169,[19]Nod!$A$3:$E$986,4,FALSE)," ")</f>
        <v>CHO230</v>
      </c>
      <c r="G169" s="30">
        <f>IFERROR(VLOOKUP($C169,[19]Nod!$A$3:$E$986,5,FALSE)," ")</f>
        <v>6</v>
      </c>
      <c r="K169" s="292"/>
      <c r="L169" s="278"/>
      <c r="M169" s="278"/>
      <c r="O169" s="489"/>
      <c r="P169" s="489"/>
      <c r="Q169" s="520"/>
      <c r="R169" s="520"/>
    </row>
    <row r="170" spans="1:18" ht="15" customHeight="1">
      <c r="A170" s="343" t="s">
        <v>282</v>
      </c>
      <c r="B170" s="344" t="s">
        <v>156</v>
      </c>
      <c r="C170" s="467">
        <v>6005</v>
      </c>
      <c r="D170" s="522"/>
      <c r="E170" s="351">
        <v>0</v>
      </c>
      <c r="F170" s="30" t="str">
        <f>IFERROR(VLOOKUP($C170,[19]Nod!$A$3:$E$986,4,FALSE)," ")</f>
        <v>CHO230</v>
      </c>
      <c r="G170" s="30">
        <f>IFERROR(VLOOKUP($C170,[19]Nod!$A$3:$E$986,5,FALSE)," ")</f>
        <v>6</v>
      </c>
      <c r="K170" s="292"/>
      <c r="L170" s="278"/>
      <c r="M170" s="278"/>
      <c r="O170" s="489"/>
      <c r="P170" s="489"/>
      <c r="Q170" s="520"/>
      <c r="R170" s="520"/>
    </row>
    <row r="171" spans="1:18" ht="15" customHeight="1">
      <c r="A171" s="343" t="s">
        <v>283</v>
      </c>
      <c r="B171" s="344" t="s">
        <v>156</v>
      </c>
      <c r="C171" s="467">
        <v>6005</v>
      </c>
      <c r="D171" s="522"/>
      <c r="E171" s="351">
        <v>0</v>
      </c>
      <c r="F171" s="30" t="str">
        <f>IFERROR(VLOOKUP($C171,[19]Nod!$A$3:$E$986,4,FALSE)," ")</f>
        <v>CHO230</v>
      </c>
      <c r="G171" s="30">
        <f>IFERROR(VLOOKUP($C171,[19]Nod!$A$3:$E$986,5,FALSE)," ")</f>
        <v>6</v>
      </c>
      <c r="K171" s="292"/>
      <c r="L171" s="278"/>
      <c r="M171" s="278"/>
      <c r="O171" s="489"/>
      <c r="P171" s="489"/>
      <c r="Q171" s="520"/>
      <c r="R171" s="520"/>
    </row>
    <row r="172" spans="1:18" ht="15" customHeight="1">
      <c r="A172" s="343" t="s">
        <v>284</v>
      </c>
      <c r="B172" s="344" t="s">
        <v>156</v>
      </c>
      <c r="C172" s="467">
        <v>6005</v>
      </c>
      <c r="D172" s="525"/>
      <c r="E172" s="351">
        <v>0</v>
      </c>
      <c r="F172" s="30" t="str">
        <f>IFERROR(VLOOKUP($C172,[19]Nod!$A$3:$E$986,4,FALSE)," ")</f>
        <v>CHO230</v>
      </c>
      <c r="G172" s="30">
        <f>IFERROR(VLOOKUP($C172,[19]Nod!$A$3:$E$986,5,FALSE)," ")</f>
        <v>6</v>
      </c>
      <c r="K172" s="292"/>
      <c r="L172" s="278"/>
      <c r="M172" s="278"/>
      <c r="O172" s="489"/>
      <c r="P172" s="489"/>
      <c r="Q172" s="520"/>
      <c r="R172" s="520"/>
    </row>
    <row r="173" spans="1:18" ht="15" customHeight="1">
      <c r="A173" s="343" t="s">
        <v>285</v>
      </c>
      <c r="B173" s="344" t="s">
        <v>156</v>
      </c>
      <c r="C173" s="467">
        <v>6005</v>
      </c>
      <c r="D173" s="487">
        <v>19.8</v>
      </c>
      <c r="E173" s="351">
        <v>0</v>
      </c>
      <c r="F173" s="30" t="str">
        <f>IFERROR(VLOOKUP($C173,[19]Nod!$A$3:$E$986,4,FALSE)," ")</f>
        <v>CHO230</v>
      </c>
      <c r="G173" s="30">
        <f>IFERROR(VLOOKUP($C173,[19]Nod!$A$3:$E$986,5,FALSE)," ")</f>
        <v>6</v>
      </c>
      <c r="K173" s="292"/>
      <c r="L173" s="278"/>
      <c r="M173" s="278"/>
      <c r="O173" s="489"/>
      <c r="P173" s="489"/>
      <c r="Q173" s="520"/>
      <c r="R173" s="520"/>
    </row>
    <row r="174" spans="1:18" ht="15" customHeight="1">
      <c r="A174" s="343" t="s">
        <v>286</v>
      </c>
      <c r="B174" s="344" t="s">
        <v>156</v>
      </c>
      <c r="C174" s="467">
        <v>6005</v>
      </c>
      <c r="D174" s="522"/>
      <c r="E174" s="351">
        <v>0</v>
      </c>
      <c r="F174" s="30" t="str">
        <f>IFERROR(VLOOKUP($C174,[19]Nod!$A$3:$E$986,4,FALSE)," ")</f>
        <v>CHO230</v>
      </c>
      <c r="G174" s="30">
        <f>IFERROR(VLOOKUP($C174,[19]Nod!$A$3:$E$986,5,FALSE)," ")</f>
        <v>6</v>
      </c>
      <c r="K174" s="292"/>
      <c r="L174" s="278"/>
      <c r="M174" s="278"/>
      <c r="O174" s="489"/>
      <c r="P174" s="489"/>
      <c r="Q174" s="520"/>
      <c r="R174" s="520"/>
    </row>
    <row r="175" spans="1:18" ht="15" customHeight="1">
      <c r="A175" s="346" t="s">
        <v>287</v>
      </c>
      <c r="B175" s="344" t="s">
        <v>156</v>
      </c>
      <c r="C175" s="467">
        <v>6005</v>
      </c>
      <c r="D175" s="526"/>
      <c r="E175" s="351">
        <v>0</v>
      </c>
      <c r="F175" s="30" t="str">
        <f>IFERROR(VLOOKUP($C175,[19]Nod!$A$3:$E$986,4,FALSE)," ")</f>
        <v>CHO230</v>
      </c>
      <c r="G175" s="30">
        <f>IFERROR(VLOOKUP($C175,[19]Nod!$A$3:$E$986,5,FALSE)," ")</f>
        <v>6</v>
      </c>
      <c r="L175" s="278"/>
      <c r="M175" s="278"/>
      <c r="O175" s="489"/>
      <c r="P175" s="489"/>
      <c r="Q175" s="520"/>
      <c r="R175" s="520"/>
    </row>
    <row r="176" spans="1:18" ht="15" customHeight="1">
      <c r="A176" s="346" t="s">
        <v>288</v>
      </c>
      <c r="B176" s="344" t="s">
        <v>156</v>
      </c>
      <c r="C176" s="467">
        <v>6005</v>
      </c>
      <c r="D176" s="485">
        <v>9.9</v>
      </c>
      <c r="E176" s="351">
        <v>0</v>
      </c>
      <c r="F176" s="30" t="str">
        <f>IFERROR(VLOOKUP($C176,[19]Nod!$A$3:$E$986,4,FALSE)," ")</f>
        <v>CHO230</v>
      </c>
      <c r="G176" s="30">
        <f>IFERROR(VLOOKUP($C176,[19]Nod!$A$3:$E$986,5,FALSE)," ")</f>
        <v>6</v>
      </c>
      <c r="L176" s="278"/>
      <c r="M176" s="278"/>
      <c r="O176" s="489"/>
      <c r="P176" s="489"/>
      <c r="Q176" s="520"/>
      <c r="R176" s="520"/>
    </row>
    <row r="177" spans="1:18" ht="15" customHeight="1">
      <c r="A177" s="346" t="s">
        <v>289</v>
      </c>
      <c r="B177" s="344" t="s">
        <v>156</v>
      </c>
      <c r="C177" s="467">
        <v>6005</v>
      </c>
      <c r="D177" s="526"/>
      <c r="E177" s="351">
        <v>0</v>
      </c>
      <c r="F177" s="30" t="str">
        <f>IFERROR(VLOOKUP($C177,[19]Nod!$A$3:$E$986,4,FALSE)," ")</f>
        <v>CHO230</v>
      </c>
      <c r="G177" s="30">
        <f>IFERROR(VLOOKUP($C177,[19]Nod!$A$3:$E$986,5,FALSE)," ")</f>
        <v>6</v>
      </c>
      <c r="L177" s="278"/>
      <c r="M177" s="278"/>
      <c r="O177" s="489"/>
      <c r="P177" s="489"/>
      <c r="Q177" s="520"/>
      <c r="R177" s="520"/>
    </row>
    <row r="178" spans="1:18" ht="15" customHeight="1">
      <c r="A178" s="346" t="s">
        <v>290</v>
      </c>
      <c r="B178" s="344" t="s">
        <v>156</v>
      </c>
      <c r="C178" s="467">
        <v>6005</v>
      </c>
      <c r="D178" s="485">
        <v>9.9</v>
      </c>
      <c r="E178" s="351">
        <v>0</v>
      </c>
      <c r="F178" s="30" t="str">
        <f>IFERROR(VLOOKUP($C178,[19]Nod!$A$3:$E$986,4,FALSE)," ")</f>
        <v>CHO230</v>
      </c>
      <c r="G178" s="30">
        <f>IFERROR(VLOOKUP($C178,[19]Nod!$A$3:$E$986,5,FALSE)," ")</f>
        <v>6</v>
      </c>
      <c r="L178" s="278"/>
      <c r="M178" s="278"/>
      <c r="O178" s="489"/>
      <c r="P178" s="489"/>
      <c r="Q178" s="520"/>
      <c r="R178" s="520"/>
    </row>
    <row r="179" spans="1:18" ht="15" customHeight="1">
      <c r="A179" s="343" t="s">
        <v>291</v>
      </c>
      <c r="B179" s="344" t="s">
        <v>250</v>
      </c>
      <c r="C179" s="353">
        <v>6830</v>
      </c>
      <c r="D179" s="483">
        <v>66</v>
      </c>
      <c r="E179" s="351">
        <v>0</v>
      </c>
      <c r="F179" s="30" t="str">
        <f>IFERROR(VLOOKUP($C179,[19]Nod!$A$3:$E$986,4,FALSE)," ")</f>
        <v>ANT230</v>
      </c>
      <c r="G179" s="30">
        <f>IFERROR(VLOOKUP($C179,[19]Nod!$A$3:$E$986,5,FALSE)," ")</f>
        <v>6</v>
      </c>
      <c r="L179" s="278"/>
      <c r="M179" s="278"/>
      <c r="O179" s="489"/>
      <c r="P179" s="489"/>
      <c r="Q179" s="520"/>
      <c r="R179" s="520"/>
    </row>
    <row r="180" spans="1:18" ht="15" customHeight="1">
      <c r="A180" s="343" t="s">
        <v>336</v>
      </c>
      <c r="B180" s="344" t="s">
        <v>250</v>
      </c>
      <c r="C180" s="352">
        <v>6830</v>
      </c>
      <c r="D180" s="483">
        <v>21.6</v>
      </c>
      <c r="E180" s="351">
        <v>6</v>
      </c>
      <c r="F180" s="30" t="str">
        <f>IFERROR(VLOOKUP($C180,[19]Nod!$A$3:$E$986,4,FALSE)," ")</f>
        <v>ANT230</v>
      </c>
      <c r="G180" s="30">
        <f>IFERROR(VLOOKUP($C180,[19]Nod!$A$3:$E$986,5,FALSE)," ")</f>
        <v>6</v>
      </c>
      <c r="L180" s="278"/>
      <c r="M180" s="278"/>
      <c r="O180" s="489"/>
      <c r="P180" s="489"/>
      <c r="Q180" s="520"/>
      <c r="R180" s="520"/>
    </row>
    <row r="181" spans="1:18" ht="15" customHeight="1">
      <c r="A181" s="343" t="s">
        <v>337</v>
      </c>
      <c r="B181" s="344" t="s">
        <v>250</v>
      </c>
      <c r="C181" s="352">
        <v>6830</v>
      </c>
      <c r="D181" s="483">
        <v>22.4</v>
      </c>
      <c r="E181" s="351">
        <v>6</v>
      </c>
      <c r="F181" s="30" t="str">
        <f>IFERROR(VLOOKUP($C181,[19]Nod!$A$3:$E$986,4,FALSE)," ")</f>
        <v>ANT230</v>
      </c>
      <c r="G181" s="30">
        <f>IFERROR(VLOOKUP($C181,[19]Nod!$A$3:$E$986,5,FALSE)," ")</f>
        <v>6</v>
      </c>
      <c r="L181" s="278"/>
      <c r="M181" s="278"/>
      <c r="O181" s="489"/>
      <c r="P181" s="489"/>
      <c r="Q181" s="520"/>
      <c r="R181" s="520"/>
    </row>
    <row r="182" spans="1:18" ht="15" customHeight="1">
      <c r="A182" s="346" t="s">
        <v>292</v>
      </c>
      <c r="B182" s="344" t="s">
        <v>156</v>
      </c>
      <c r="C182" s="352">
        <v>6240</v>
      </c>
      <c r="D182" s="483">
        <v>9</v>
      </c>
      <c r="E182" s="351">
        <v>0</v>
      </c>
      <c r="F182" s="30" t="str">
        <f>IFERROR(VLOOKUP($C182,[19]Nod!$A$3:$E$986,4,FALSE)," ")</f>
        <v>EHIG230</v>
      </c>
      <c r="G182" s="30">
        <f>IFERROR(VLOOKUP($C182,[19]Nod!$A$3:$E$986,5,FALSE)," ")</f>
        <v>6</v>
      </c>
      <c r="L182" s="278"/>
      <c r="M182" s="278"/>
      <c r="O182" s="489"/>
      <c r="P182" s="489"/>
      <c r="Q182" s="520"/>
      <c r="R182" s="520"/>
    </row>
    <row r="183" spans="1:18" ht="15" customHeight="1">
      <c r="A183" s="343" t="s">
        <v>338</v>
      </c>
      <c r="B183" s="344" t="s">
        <v>156</v>
      </c>
      <c r="C183" s="353">
        <v>6240</v>
      </c>
      <c r="D183" s="522"/>
      <c r="E183" s="351">
        <v>0</v>
      </c>
      <c r="F183" s="30" t="str">
        <f>IFERROR(VLOOKUP($C183,[19]Nod!$A$3:$E$986,4,FALSE)," ")</f>
        <v>EHIG230</v>
      </c>
      <c r="G183" s="30">
        <f>IFERROR(VLOOKUP($C183,[19]Nod!$A$3:$E$986,5,FALSE)," ")</f>
        <v>6</v>
      </c>
      <c r="L183" s="278"/>
      <c r="M183" s="278"/>
      <c r="O183" s="489"/>
      <c r="P183" s="489"/>
      <c r="Q183" s="520"/>
      <c r="R183" s="520"/>
    </row>
    <row r="184" spans="1:18" ht="15" customHeight="1">
      <c r="A184" s="343" t="s">
        <v>293</v>
      </c>
      <c r="B184" s="344" t="s">
        <v>156</v>
      </c>
      <c r="C184" s="352">
        <v>6240</v>
      </c>
      <c r="D184" s="483">
        <v>9.9600000000000009</v>
      </c>
      <c r="E184" s="351">
        <v>0</v>
      </c>
      <c r="F184" s="30" t="str">
        <f>IFERROR(VLOOKUP($C184,[19]Nod!$A$3:$E$986,4,FALSE)," ")</f>
        <v>EHIG230</v>
      </c>
      <c r="G184" s="30">
        <f>IFERROR(VLOOKUP($C184,[19]Nod!$A$3:$E$986,5,FALSE)," ")</f>
        <v>6</v>
      </c>
      <c r="L184" s="278"/>
      <c r="M184" s="278"/>
      <c r="O184" s="489"/>
      <c r="P184" s="489"/>
      <c r="Q184" s="520"/>
      <c r="R184" s="520"/>
    </row>
    <row r="185" spans="1:18" ht="15" customHeight="1">
      <c r="A185" s="343" t="s">
        <v>339</v>
      </c>
      <c r="B185" s="344" t="s">
        <v>156</v>
      </c>
      <c r="C185" s="352">
        <v>6240</v>
      </c>
      <c r="D185" s="483">
        <v>9.9</v>
      </c>
      <c r="E185" s="351">
        <v>0</v>
      </c>
      <c r="F185" s="30" t="str">
        <f>IFERROR(VLOOKUP($C185,[19]Nod!$A$3:$E$986,4,FALSE)," ")</f>
        <v>EHIG230</v>
      </c>
      <c r="G185" s="30">
        <f>IFERROR(VLOOKUP($C185,[19]Nod!$A$3:$E$986,5,FALSE)," ")</f>
        <v>6</v>
      </c>
      <c r="L185" s="278"/>
      <c r="M185" s="278"/>
      <c r="O185" s="489"/>
      <c r="P185" s="489"/>
      <c r="Q185" s="520"/>
      <c r="R185" s="520"/>
    </row>
    <row r="186" spans="1:18" ht="15" customHeight="1">
      <c r="A186" s="347" t="s">
        <v>294</v>
      </c>
      <c r="B186" s="344" t="s">
        <v>250</v>
      </c>
      <c r="C186" s="352">
        <v>6830</v>
      </c>
      <c r="D186" s="353">
        <v>126</v>
      </c>
      <c r="E186" s="353">
        <v>7</v>
      </c>
      <c r="F186" s="30" t="str">
        <f>IFERROR(VLOOKUP($C186,[19]Nod!$A$3:$E$986,4,FALSE)," ")</f>
        <v>ANT230</v>
      </c>
      <c r="G186" s="30">
        <f>IFERROR(VLOOKUP($C186,[19]Nod!$A$3:$E$986,5,FALSE)," ")</f>
        <v>6</v>
      </c>
      <c r="L186" s="278"/>
      <c r="M186" s="278"/>
      <c r="O186" s="489"/>
      <c r="P186" s="489"/>
      <c r="Q186" s="520"/>
      <c r="R186" s="520"/>
    </row>
    <row r="187" spans="1:18" ht="15" customHeight="1">
      <c r="A187" s="460" t="s">
        <v>31</v>
      </c>
      <c r="B187" s="445"/>
      <c r="C187" s="446"/>
      <c r="D187" s="446"/>
      <c r="E187" s="461"/>
      <c r="F187" s="30" t="str">
        <f>IFERROR(VLOOKUP($C187,[19]Nod!$A$3:$E$986,4,FALSE)," ")</f>
        <v xml:space="preserve"> </v>
      </c>
      <c r="G187" s="30" t="str">
        <f>IFERROR(VLOOKUP($C187,[19]Nod!$A$3:$E$986,5,FALSE)," ")</f>
        <v xml:space="preserve"> </v>
      </c>
      <c r="L187" s="278"/>
      <c r="M187" s="278"/>
      <c r="O187" s="489"/>
      <c r="P187" s="489"/>
      <c r="Q187" s="520"/>
      <c r="R187" s="520"/>
    </row>
    <row r="188" spans="1:18" ht="15" customHeight="1">
      <c r="A188" s="45">
        <v>7</v>
      </c>
      <c r="B188" s="42"/>
      <c r="C188" s="43"/>
      <c r="D188" s="297">
        <f>SUM(D189:D191)</f>
        <v>153.13999999999999</v>
      </c>
      <c r="E188" s="294"/>
      <c r="F188" s="30" t="str">
        <f>IFERROR(VLOOKUP($C188,[19]Nod!$A$3:$E$986,4,FALSE)," ")</f>
        <v xml:space="preserve"> </v>
      </c>
      <c r="G188" s="30" t="str">
        <f>IFERROR(VLOOKUP($C188,[19]Nod!$A$3:$E$986,5,FALSE)," ")</f>
        <v xml:space="preserve"> </v>
      </c>
      <c r="L188" s="278"/>
      <c r="M188" s="278"/>
      <c r="O188" s="489"/>
      <c r="P188" s="489"/>
      <c r="Q188" s="520"/>
      <c r="R188" s="520"/>
    </row>
    <row r="189" spans="1:18" ht="15" customHeight="1">
      <c r="A189" s="343" t="s">
        <v>295</v>
      </c>
      <c r="B189" s="344" t="s">
        <v>150</v>
      </c>
      <c r="C189" s="349">
        <v>6018</v>
      </c>
      <c r="D189" s="353">
        <v>99.61</v>
      </c>
      <c r="E189" s="351">
        <v>0</v>
      </c>
      <c r="F189" s="30" t="str">
        <f>IFERROR(VLOOKUP($C189,[19]Nod!$A$3:$E$986,4,FALSE)," ")</f>
        <v>CAC115</v>
      </c>
      <c r="G189" s="30">
        <f>IFERROR(VLOOKUP($C189,[19]Nod!$A$3:$E$986,5,FALSE)," ")</f>
        <v>7</v>
      </c>
      <c r="L189" s="278"/>
      <c r="M189" s="278"/>
      <c r="O189" s="489"/>
      <c r="P189" s="489"/>
      <c r="Q189" s="520"/>
      <c r="R189" s="520"/>
    </row>
    <row r="190" spans="1:18" ht="15" customHeight="1">
      <c r="A190" s="343" t="s">
        <v>296</v>
      </c>
      <c r="B190" s="344" t="s">
        <v>212</v>
      </c>
      <c r="C190" s="349">
        <v>6171</v>
      </c>
      <c r="D190" s="353">
        <v>53.53</v>
      </c>
      <c r="E190" s="351">
        <v>0</v>
      </c>
      <c r="F190" s="30" t="str">
        <f>IFERROR(VLOOKUP($C190,[19]Nod!$A$3:$E$986,4,FALSE)," ")</f>
        <v>PAC230</v>
      </c>
      <c r="G190" s="30">
        <f>IFERROR(VLOOKUP($C190,[19]Nod!$A$3:$E$986,5,FALSE)," ")</f>
        <v>7</v>
      </c>
      <c r="L190" s="278"/>
      <c r="M190" s="278"/>
      <c r="O190" s="489"/>
      <c r="P190" s="489"/>
      <c r="Q190" s="520"/>
      <c r="R190" s="520"/>
    </row>
    <row r="191" spans="1:18" ht="15" customHeight="1">
      <c r="A191" s="343" t="s">
        <v>345</v>
      </c>
      <c r="B191" s="344" t="s">
        <v>156</v>
      </c>
      <c r="C191" s="349">
        <v>6018</v>
      </c>
      <c r="D191" s="522"/>
      <c r="E191" s="351">
        <v>0</v>
      </c>
      <c r="F191" s="30" t="str">
        <f>IFERROR(VLOOKUP($C191,[19]Nod!$A$3:$E$986,4,FALSE)," ")</f>
        <v>CAC115</v>
      </c>
      <c r="G191" s="30">
        <f>IFERROR(VLOOKUP($C191,[19]Nod!$A$3:$E$986,5,FALSE)," ")</f>
        <v>7</v>
      </c>
      <c r="L191" s="278"/>
      <c r="M191" s="278"/>
      <c r="O191" s="489"/>
      <c r="P191" s="489"/>
      <c r="Q191" s="520"/>
      <c r="R191" s="520"/>
    </row>
    <row r="192" spans="1:18" ht="15" customHeight="1">
      <c r="A192" s="57" t="s">
        <v>31</v>
      </c>
      <c r="B192" s="40"/>
      <c r="C192" s="41"/>
      <c r="D192" s="446"/>
      <c r="E192" s="310"/>
      <c r="F192" s="30" t="str">
        <f>IFERROR(VLOOKUP($C192,[19]Nod!$A$3:$E$986,4,FALSE)," ")</f>
        <v xml:space="preserve"> </v>
      </c>
      <c r="L192" s="278"/>
      <c r="M192" s="278"/>
      <c r="O192" s="489"/>
      <c r="P192" s="489"/>
      <c r="Q192" s="520"/>
      <c r="R192" s="520"/>
    </row>
    <row r="193" spans="1:18" ht="15" customHeight="1">
      <c r="A193" s="35">
        <v>8</v>
      </c>
      <c r="B193" s="58"/>
      <c r="C193" s="34"/>
      <c r="D193" s="297">
        <f>SUM(D194)</f>
        <v>260</v>
      </c>
      <c r="E193" s="294"/>
      <c r="F193" s="30" t="str">
        <f>IFERROR(VLOOKUP($C193,[19]Nod!$A$3:$E$986,4,FALSE)," ")</f>
        <v xml:space="preserve"> </v>
      </c>
      <c r="G193" s="30" t="str">
        <f>IFERROR(VLOOKUP($C193,[19]Nod!$A$3:$E$986,5,FALSE)," ")</f>
        <v xml:space="preserve"> </v>
      </c>
      <c r="L193" s="278"/>
      <c r="M193" s="278"/>
      <c r="O193" s="489"/>
      <c r="P193" s="489"/>
      <c r="Q193" s="520"/>
      <c r="R193" s="520"/>
    </row>
    <row r="194" spans="1:18" ht="15" customHeight="1">
      <c r="A194" s="355" t="s">
        <v>297</v>
      </c>
      <c r="B194" s="344" t="s">
        <v>150</v>
      </c>
      <c r="C194" s="349">
        <v>6100</v>
      </c>
      <c r="D194" s="353">
        <v>260</v>
      </c>
      <c r="E194" s="351">
        <v>0</v>
      </c>
      <c r="F194" s="30" t="str">
        <f>IFERROR(VLOOKUP($C194,[19]Nod!$A$3:$E$986,4,FALSE)," ")</f>
        <v>BAY230</v>
      </c>
      <c r="G194" s="30">
        <f>IFERROR(VLOOKUP($C194,[19]Nod!$A$3:$E$986,5,FALSE)," ")</f>
        <v>8</v>
      </c>
      <c r="L194" s="278"/>
      <c r="M194" s="278"/>
      <c r="O194" s="489"/>
      <c r="P194" s="489"/>
      <c r="Q194" s="520"/>
      <c r="R194" s="520"/>
    </row>
    <row r="195" spans="1:18" ht="15" customHeight="1">
      <c r="A195" s="39" t="s">
        <v>31</v>
      </c>
      <c r="B195" s="40"/>
      <c r="C195" s="41"/>
      <c r="D195" s="446"/>
      <c r="E195" s="310"/>
      <c r="F195" s="30" t="str">
        <f>IFERROR(VLOOKUP($C195,[19]Nod!$A$3:$E$986,4,FALSE)," ")</f>
        <v xml:space="preserve"> </v>
      </c>
      <c r="G195" s="30" t="str">
        <f>IFERROR(VLOOKUP($C195,[19]Nod!$A$3:$E$986,5,FALSE)," ")</f>
        <v xml:space="preserve"> </v>
      </c>
      <c r="L195" s="278"/>
      <c r="M195" s="278"/>
      <c r="O195" s="489"/>
      <c r="P195" s="489"/>
      <c r="Q195" s="520"/>
      <c r="R195" s="520"/>
    </row>
    <row r="196" spans="1:18" ht="15" customHeight="1">
      <c r="A196" s="45">
        <v>9</v>
      </c>
      <c r="B196" s="59"/>
      <c r="C196" s="60"/>
      <c r="D196" s="297">
        <f>SUM(D197:D202)</f>
        <v>1376.25</v>
      </c>
      <c r="E196" s="312"/>
      <c r="F196" s="30" t="str">
        <f>IFERROR(VLOOKUP($C196,[19]Nod!$A$3:$E$986,4,FALSE)," ")</f>
        <v xml:space="preserve"> </v>
      </c>
      <c r="G196" s="30" t="str">
        <f>IFERROR(VLOOKUP($C196,[19]Nod!$A$3:$E$986,5,FALSE)," ")</f>
        <v xml:space="preserve"> </v>
      </c>
      <c r="L196" s="278"/>
      <c r="M196" s="278"/>
      <c r="O196" s="489"/>
      <c r="P196" s="489"/>
      <c r="Q196" s="520"/>
      <c r="R196" s="520"/>
    </row>
    <row r="197" spans="1:18" ht="15" customHeight="1">
      <c r="A197" s="343" t="s">
        <v>298</v>
      </c>
      <c r="B197" s="344" t="s">
        <v>212</v>
      </c>
      <c r="C197" s="349">
        <v>6059</v>
      </c>
      <c r="D197" s="353">
        <v>121</v>
      </c>
      <c r="E197" s="351">
        <v>0</v>
      </c>
      <c r="F197" s="30" t="str">
        <f>IFERROR(VLOOKUP($C197,[19]Nod!$A$3:$E$986,4,FALSE)," ")</f>
        <v>LM1115</v>
      </c>
      <c r="G197" s="30">
        <f>IFERROR(VLOOKUP($C197,[19]Nod!$A$3:$E$986,5,FALSE)," ")</f>
        <v>9</v>
      </c>
      <c r="L197" s="278"/>
      <c r="M197" s="278"/>
      <c r="O197" s="489"/>
      <c r="P197" s="489"/>
      <c r="Q197" s="520"/>
      <c r="R197" s="520"/>
    </row>
    <row r="198" spans="1:18" ht="15" customHeight="1">
      <c r="A198" s="343" t="s">
        <v>299</v>
      </c>
      <c r="B198" s="344" t="s">
        <v>212</v>
      </c>
      <c r="C198" s="349">
        <v>6059</v>
      </c>
      <c r="D198" s="353">
        <v>150</v>
      </c>
      <c r="E198" s="351">
        <v>0</v>
      </c>
      <c r="F198" s="30" t="str">
        <f>IFERROR(VLOOKUP($C198,[19]Nod!$A$3:$E$986,4,FALSE)," ")</f>
        <v>LM1115</v>
      </c>
      <c r="G198" s="30">
        <f>IFERROR(VLOOKUP($C198,[19]Nod!$A$3:$E$986,5,FALSE)," ")</f>
        <v>9</v>
      </c>
      <c r="L198" s="278"/>
      <c r="M198" s="278"/>
      <c r="O198" s="489"/>
      <c r="P198" s="489"/>
      <c r="Q198" s="520"/>
      <c r="R198" s="520"/>
    </row>
    <row r="199" spans="1:18" ht="15" customHeight="1">
      <c r="A199" s="343" t="s">
        <v>300</v>
      </c>
      <c r="B199" s="344" t="s">
        <v>212</v>
      </c>
      <c r="C199" s="349">
        <v>6059</v>
      </c>
      <c r="D199" s="353">
        <v>381</v>
      </c>
      <c r="E199" s="351">
        <v>0</v>
      </c>
      <c r="F199" s="30" t="str">
        <f>IFERROR(VLOOKUP($C199,[19]Nod!$A$3:$E$986,4,FALSE)," ")</f>
        <v>LM1115</v>
      </c>
      <c r="G199" s="30">
        <f>IFERROR(VLOOKUP($C199,[19]Nod!$A$3:$E$986,5,FALSE)," ")</f>
        <v>9</v>
      </c>
      <c r="L199" s="278"/>
      <c r="M199" s="278"/>
      <c r="O199" s="489"/>
      <c r="P199" s="489"/>
      <c r="Q199" s="520"/>
      <c r="R199" s="520"/>
    </row>
    <row r="200" spans="1:18" ht="15" customHeight="1">
      <c r="A200" s="343" t="s">
        <v>301</v>
      </c>
      <c r="B200" s="344" t="s">
        <v>212</v>
      </c>
      <c r="C200" s="349">
        <v>6173</v>
      </c>
      <c r="D200" s="353">
        <v>5.05</v>
      </c>
      <c r="E200" s="351">
        <v>0</v>
      </c>
      <c r="F200" s="30" t="str">
        <f>IFERROR(VLOOKUP($C200,[19]Nod!$A$3:$E$986,4,FALSE)," ")</f>
        <v>STR115</v>
      </c>
      <c r="G200" s="30">
        <f>IFERROR(VLOOKUP($C200,[19]Nod!$A$3:$E$986,5,FALSE)," ")</f>
        <v>9</v>
      </c>
      <c r="L200" s="278"/>
      <c r="M200" s="278"/>
      <c r="O200" s="489"/>
      <c r="P200" s="489"/>
      <c r="Q200" s="520"/>
      <c r="R200" s="520"/>
    </row>
    <row r="201" spans="1:18" ht="15" customHeight="1">
      <c r="A201" s="343" t="s">
        <v>302</v>
      </c>
      <c r="B201" s="344" t="s">
        <v>212</v>
      </c>
      <c r="C201" s="349">
        <v>6173</v>
      </c>
      <c r="D201" s="353">
        <v>49.2</v>
      </c>
      <c r="E201" s="351">
        <v>0</v>
      </c>
      <c r="F201" s="30" t="str">
        <f>IFERROR(VLOOKUP($C201,[19]Nod!$A$3:$E$986,4,FALSE)," ")</f>
        <v>STR115</v>
      </c>
      <c r="G201" s="30">
        <f>IFERROR(VLOOKUP($C201,[19]Nod!$A$3:$E$986,5,FALSE)," ")</f>
        <v>9</v>
      </c>
      <c r="L201" s="278"/>
      <c r="M201" s="278"/>
      <c r="O201" s="489"/>
      <c r="P201" s="489"/>
      <c r="Q201" s="520"/>
      <c r="R201" s="520"/>
    </row>
    <row r="202" spans="1:18" ht="15" customHeight="1">
      <c r="A202" s="343" t="s">
        <v>303</v>
      </c>
      <c r="B202" s="344" t="s">
        <v>212</v>
      </c>
      <c r="C202" s="349">
        <v>6059</v>
      </c>
      <c r="D202" s="353">
        <v>670</v>
      </c>
      <c r="E202" s="351">
        <v>0</v>
      </c>
      <c r="F202" s="30" t="str">
        <f>IFERROR(VLOOKUP($C202,[19]Nod!$A$3:$E$986,4,FALSE)," ")</f>
        <v>LM1115</v>
      </c>
      <c r="G202" s="30">
        <f>IFERROR(VLOOKUP($C202,[19]Nod!$A$3:$E$986,5,FALSE)," ")</f>
        <v>9</v>
      </c>
      <c r="L202" s="278"/>
      <c r="M202" s="278"/>
      <c r="O202" s="489"/>
      <c r="P202" s="489"/>
      <c r="Q202" s="520"/>
      <c r="R202" s="520"/>
    </row>
    <row r="203" spans="1:18" ht="15" customHeight="1">
      <c r="A203" s="39" t="s">
        <v>31</v>
      </c>
      <c r="B203" s="3"/>
      <c r="C203" s="38"/>
      <c r="D203" s="446"/>
      <c r="E203" s="298"/>
      <c r="F203" s="30" t="str">
        <f>IFERROR(VLOOKUP($C203,[19]Nod!$A$3:$E$986,4,FALSE)," ")</f>
        <v xml:space="preserve"> </v>
      </c>
      <c r="G203" s="30" t="str">
        <f>IFERROR(VLOOKUP($C203,[19]Nod!$A$3:$E$986,5,FALSE)," ")</f>
        <v xml:space="preserve"> </v>
      </c>
      <c r="L203" s="278"/>
      <c r="M203" s="278"/>
      <c r="O203" s="489"/>
      <c r="P203" s="489"/>
      <c r="Q203" s="520"/>
      <c r="R203" s="520"/>
    </row>
    <row r="204" spans="1:18" ht="15" customHeight="1">
      <c r="A204" s="45">
        <v>10</v>
      </c>
      <c r="B204" s="59"/>
      <c r="C204" s="61"/>
      <c r="D204" s="297">
        <f>SUM(D205:D206)</f>
        <v>254.8</v>
      </c>
      <c r="E204" s="294"/>
      <c r="F204" s="30" t="str">
        <f>IFERROR(VLOOKUP($C204,[19]Nod!$A$3:$E$986,4,FALSE)," ")</f>
        <v xml:space="preserve"> </v>
      </c>
      <c r="G204" s="30" t="str">
        <f>IFERROR(VLOOKUP($C204,[19]Nod!$A$3:$E$986,5,FALSE)," ")</f>
        <v xml:space="preserve"> </v>
      </c>
      <c r="L204" s="278"/>
      <c r="M204" s="278"/>
      <c r="O204" s="489"/>
      <c r="P204" s="489"/>
      <c r="Q204" s="520"/>
      <c r="R204" s="520"/>
    </row>
    <row r="205" spans="1:18" ht="15" customHeight="1">
      <c r="A205" s="356" t="s">
        <v>304</v>
      </c>
      <c r="B205" s="344" t="s">
        <v>150</v>
      </c>
      <c r="C205" s="349">
        <v>6263</v>
      </c>
      <c r="D205" s="452">
        <v>223</v>
      </c>
      <c r="E205" s="351">
        <v>0</v>
      </c>
      <c r="F205" s="30" t="str">
        <f>IFERROR(VLOOKUP($C205,[19]Nod!$A$3:$E$986,4,FALSE)," ")</f>
        <v>ESP230</v>
      </c>
      <c r="G205" s="30">
        <f>IFERROR(VLOOKUP($C205,[19]Nod!$A$3:$E$986,5,FALSE)," ")</f>
        <v>10</v>
      </c>
      <c r="L205" s="278"/>
      <c r="M205" s="278"/>
      <c r="O205" s="489"/>
      <c r="P205" s="489"/>
      <c r="Q205" s="520"/>
      <c r="R205" s="520"/>
    </row>
    <row r="206" spans="1:18" ht="15" customHeight="1">
      <c r="A206" s="356" t="s">
        <v>305</v>
      </c>
      <c r="B206" s="344" t="s">
        <v>150</v>
      </c>
      <c r="C206" s="349">
        <v>6263</v>
      </c>
      <c r="D206" s="452">
        <v>31.8</v>
      </c>
      <c r="E206" s="351">
        <v>0</v>
      </c>
      <c r="F206" s="30" t="str">
        <f>IFERROR(VLOOKUP($C206,[19]Nod!$A$3:$E$986,4,FALSE)," ")</f>
        <v>ESP230</v>
      </c>
      <c r="G206" s="30">
        <f>IFERROR(VLOOKUP($C206,[19]Nod!$A$3:$E$986,5,FALSE)," ")</f>
        <v>10</v>
      </c>
      <c r="L206" s="278"/>
      <c r="M206" s="278"/>
      <c r="O206" s="489"/>
      <c r="P206" s="489"/>
      <c r="Q206" s="520"/>
      <c r="R206" s="520"/>
    </row>
    <row r="207" spans="1:18" ht="15" customHeight="1">
      <c r="A207" s="57" t="s">
        <v>31</v>
      </c>
      <c r="B207" s="40"/>
      <c r="C207" s="41"/>
      <c r="D207" s="446"/>
      <c r="E207" s="310"/>
      <c r="F207" s="3"/>
      <c r="G207" s="3"/>
      <c r="L207" s="278"/>
      <c r="M207" s="278"/>
      <c r="O207" s="489"/>
      <c r="P207" s="489"/>
      <c r="Q207" s="520"/>
      <c r="R207" s="520"/>
    </row>
    <row r="208" spans="1:18" ht="15" customHeight="1">
      <c r="L208" s="278"/>
      <c r="M208" s="278"/>
      <c r="O208" s="489"/>
      <c r="P208" s="489"/>
      <c r="Q208" s="520"/>
      <c r="R208" s="520"/>
    </row>
    <row r="209" spans="1:18" ht="15" customHeight="1">
      <c r="A209" s="530" t="s">
        <v>306</v>
      </c>
      <c r="B209" s="531"/>
      <c r="C209" s="531"/>
      <c r="D209" s="531"/>
      <c r="E209" s="531"/>
      <c r="F209" s="531"/>
      <c r="G209" s="531"/>
      <c r="L209" s="278"/>
      <c r="M209" s="278"/>
      <c r="O209" s="489"/>
      <c r="P209" s="489"/>
      <c r="Q209" s="520"/>
      <c r="R209" s="520"/>
    </row>
    <row r="210" spans="1:18" ht="15" customHeight="1">
      <c r="A210" s="530" t="s">
        <v>307</v>
      </c>
      <c r="B210" s="531"/>
      <c r="C210" s="531"/>
      <c r="D210" s="531"/>
      <c r="E210" s="531"/>
      <c r="F210" s="531"/>
      <c r="G210" s="531"/>
      <c r="L210" s="278"/>
      <c r="M210" s="278"/>
      <c r="O210" s="489"/>
      <c r="P210" s="489"/>
      <c r="Q210" s="520"/>
      <c r="R210" s="520"/>
    </row>
    <row r="211" spans="1:18" ht="15" customHeight="1">
      <c r="A211" s="530" t="s">
        <v>308</v>
      </c>
      <c r="B211" s="531"/>
      <c r="C211" s="531"/>
      <c r="D211" s="531"/>
      <c r="E211" s="531"/>
      <c r="F211" s="531"/>
      <c r="G211" s="531"/>
      <c r="L211" s="278"/>
      <c r="M211" s="278"/>
      <c r="O211" s="489"/>
      <c r="P211" s="489"/>
      <c r="Q211" s="520"/>
      <c r="R211" s="520"/>
    </row>
    <row r="212" spans="1:18" ht="15" customHeight="1">
      <c r="A212" s="530" t="s">
        <v>309</v>
      </c>
      <c r="B212" s="531"/>
      <c r="C212" s="531"/>
      <c r="D212" s="531"/>
      <c r="E212" s="531"/>
      <c r="F212" s="531"/>
      <c r="G212" s="531"/>
      <c r="L212" s="278"/>
      <c r="M212" s="278"/>
      <c r="O212" s="489"/>
      <c r="P212" s="489"/>
      <c r="Q212" s="520"/>
      <c r="R212" s="520"/>
    </row>
    <row r="213" spans="1:18" ht="15" customHeight="1">
      <c r="A213" s="530" t="s">
        <v>310</v>
      </c>
      <c r="B213" s="531"/>
      <c r="C213" s="531"/>
      <c r="D213" s="531"/>
      <c r="E213" s="531"/>
      <c r="F213" s="531"/>
      <c r="G213" s="531"/>
      <c r="L213" s="278"/>
      <c r="M213" s="278"/>
      <c r="O213" s="489"/>
      <c r="P213" s="489"/>
      <c r="Q213" s="520"/>
      <c r="R213" s="520"/>
    </row>
    <row r="214" spans="1:18" ht="15" customHeight="1">
      <c r="F214" s="278"/>
      <c r="G214" s="278"/>
      <c r="L214" s="278"/>
      <c r="M214" s="278"/>
      <c r="O214" s="489"/>
      <c r="P214" s="489"/>
      <c r="Q214" s="520"/>
      <c r="R214" s="520"/>
    </row>
    <row r="215" spans="1:18" ht="15" customHeight="1">
      <c r="F215" s="278"/>
      <c r="G215" s="278"/>
      <c r="L215" s="278"/>
      <c r="M215" s="278"/>
      <c r="O215" s="489"/>
      <c r="P215" s="489"/>
      <c r="Q215" s="520"/>
      <c r="R215" s="520"/>
    </row>
    <row r="216" spans="1:18" ht="15" customHeight="1">
      <c r="F216" s="278"/>
      <c r="G216" s="278"/>
      <c r="L216" s="278"/>
      <c r="M216" s="278"/>
      <c r="O216" s="489"/>
      <c r="P216" s="489"/>
      <c r="Q216" s="520"/>
      <c r="R216" s="520"/>
    </row>
    <row r="217" spans="1:18" ht="15" customHeight="1">
      <c r="F217" s="278"/>
      <c r="G217" s="278"/>
      <c r="L217" s="278"/>
      <c r="M217" s="278"/>
      <c r="O217" s="489"/>
      <c r="P217" s="489"/>
      <c r="Q217" s="520"/>
      <c r="R217" s="520"/>
    </row>
    <row r="218" spans="1:18" ht="15" customHeight="1">
      <c r="F218" s="278"/>
      <c r="G218" s="278"/>
      <c r="L218" s="278"/>
      <c r="M218" s="278"/>
      <c r="O218" s="489"/>
      <c r="P218" s="489"/>
      <c r="Q218" s="520"/>
      <c r="R218" s="520"/>
    </row>
    <row r="219" spans="1:18" ht="15" customHeight="1">
      <c r="F219" s="278"/>
      <c r="G219" s="278"/>
      <c r="L219" s="278"/>
      <c r="M219" s="278"/>
      <c r="O219" s="489"/>
      <c r="P219" s="489"/>
      <c r="Q219" s="520"/>
      <c r="R219" s="520"/>
    </row>
    <row r="220" spans="1:18" ht="15" customHeight="1">
      <c r="F220" s="278"/>
      <c r="G220" s="278"/>
      <c r="L220" s="278"/>
      <c r="M220" s="278"/>
      <c r="O220" s="489"/>
      <c r="P220" s="489"/>
      <c r="Q220" s="520"/>
      <c r="R220" s="520"/>
    </row>
    <row r="221" spans="1:18" ht="15" customHeight="1">
      <c r="F221" s="278"/>
      <c r="G221" s="278"/>
      <c r="L221" s="278"/>
      <c r="M221" s="278"/>
      <c r="O221" s="489"/>
      <c r="P221" s="489"/>
      <c r="Q221" s="520"/>
      <c r="R221" s="520"/>
    </row>
    <row r="222" spans="1:18" ht="15" customHeight="1">
      <c r="F222" s="278"/>
      <c r="G222" s="278"/>
      <c r="L222" s="278"/>
      <c r="M222" s="278"/>
      <c r="O222" s="489"/>
      <c r="P222" s="489"/>
      <c r="Q222" s="520"/>
      <c r="R222" s="520"/>
    </row>
    <row r="223" spans="1:18" ht="15" customHeight="1">
      <c r="F223" s="278"/>
      <c r="G223" s="278"/>
      <c r="L223" s="278"/>
      <c r="M223" s="278"/>
      <c r="O223" s="489"/>
      <c r="P223" s="489"/>
      <c r="Q223" s="520"/>
      <c r="R223" s="520"/>
    </row>
    <row r="224" spans="1:18" ht="15" customHeight="1">
      <c r="F224" s="278"/>
      <c r="G224" s="278"/>
      <c r="L224" s="278"/>
      <c r="M224" s="278"/>
      <c r="O224" s="489"/>
      <c r="P224" s="489"/>
      <c r="Q224" s="520"/>
      <c r="R224" s="520"/>
    </row>
    <row r="225" spans="6:18" ht="15" customHeight="1">
      <c r="F225" s="278"/>
      <c r="G225" s="278"/>
      <c r="L225" s="278"/>
      <c r="M225" s="278"/>
      <c r="O225" s="489"/>
      <c r="P225" s="489"/>
      <c r="Q225" s="520"/>
      <c r="R225" s="520"/>
    </row>
    <row r="226" spans="6:18" ht="15" customHeight="1">
      <c r="F226" s="278"/>
      <c r="G226" s="278"/>
      <c r="L226" s="278"/>
      <c r="M226" s="278"/>
      <c r="O226" s="489"/>
      <c r="P226" s="489"/>
      <c r="Q226" s="520"/>
      <c r="R226" s="520"/>
    </row>
    <row r="227" spans="6:18" ht="15" customHeight="1">
      <c r="F227" s="278"/>
      <c r="G227" s="278"/>
      <c r="L227" s="278"/>
      <c r="M227" s="278"/>
    </row>
    <row r="228" spans="6:18" ht="15" customHeight="1">
      <c r="F228" s="278"/>
      <c r="G228" s="278"/>
      <c r="L228" s="278"/>
      <c r="M228" s="278"/>
    </row>
    <row r="229" spans="6:18" ht="15" customHeight="1">
      <c r="F229" s="278"/>
      <c r="G229" s="278"/>
      <c r="L229" s="278"/>
      <c r="M229" s="278"/>
    </row>
    <row r="230" spans="6:18" ht="15" customHeight="1">
      <c r="F230" s="278"/>
      <c r="G230" s="278"/>
      <c r="L230" s="278"/>
      <c r="M230" s="278"/>
    </row>
    <row r="231" spans="6:18" ht="15" customHeight="1">
      <c r="F231" s="278"/>
      <c r="G231" s="278"/>
      <c r="L231" s="278"/>
      <c r="M231" s="278"/>
    </row>
    <row r="232" spans="6:18" ht="15" customHeight="1">
      <c r="F232" s="278"/>
      <c r="G232" s="278"/>
      <c r="L232" s="278"/>
      <c r="M232" s="278"/>
    </row>
    <row r="233" spans="6:18" ht="15" customHeight="1">
      <c r="F233" s="278"/>
      <c r="G233" s="278"/>
      <c r="L233" s="278"/>
      <c r="M233" s="278"/>
    </row>
    <row r="234" spans="6:18" ht="15" customHeight="1">
      <c r="F234" s="278"/>
      <c r="G234" s="278"/>
    </row>
    <row r="235" spans="6:18" ht="15" customHeight="1">
      <c r="F235" s="278"/>
      <c r="G235" s="278"/>
    </row>
    <row r="236" spans="6:18" ht="15" customHeight="1">
      <c r="F236" s="278"/>
      <c r="G236" s="278"/>
    </row>
  </sheetData>
  <mergeCells count="6">
    <mergeCell ref="A213:G213"/>
    <mergeCell ref="A9:L9"/>
    <mergeCell ref="A209:G209"/>
    <mergeCell ref="A210:G210"/>
    <mergeCell ref="A211:G211"/>
    <mergeCell ref="A212:G212"/>
  </mergeCells>
  <conditionalFormatting sqref="B11:L12">
    <cfRule type="cellIs" dxfId="68" priority="8" operator="equal">
      <formula>0</formula>
    </cfRule>
  </conditionalFormatting>
  <conditionalFormatting sqref="E18:E35">
    <cfRule type="cellIs" dxfId="67" priority="3" operator="equal">
      <formula>0</formula>
    </cfRule>
  </conditionalFormatting>
  <conditionalFormatting sqref="E38:E55 E189:E191 E194:E195 E197:E202">
    <cfRule type="cellIs" dxfId="66" priority="5" operator="equal">
      <formula>0</formula>
    </cfRule>
  </conditionalFormatting>
  <conditionalFormatting sqref="E57">
    <cfRule type="cellIs" dxfId="65" priority="1" operator="equal">
      <formula>0</formula>
    </cfRule>
  </conditionalFormatting>
  <conditionalFormatting sqref="E59:E107">
    <cfRule type="cellIs" dxfId="64" priority="4" operator="equal">
      <formula>0</formula>
    </cfRule>
  </conditionalFormatting>
  <conditionalFormatting sqref="E118:E150">
    <cfRule type="cellIs" dxfId="63" priority="2" operator="equal">
      <formula>0</formula>
    </cfRule>
  </conditionalFormatting>
  <conditionalFormatting sqref="K120:K174 E167:E186">
    <cfRule type="cellIs" dxfId="62" priority="9" operator="equal">
      <formula>0</formula>
    </cfRule>
  </conditionalFormatting>
  <conditionalFormatting sqref="M11:M12">
    <cfRule type="cellIs" dxfId="61" priority="6" stopIfTrue="1" operator="notEqual">
      <formula>L11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5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30676-B6F4-4094-A4DE-2028FFF1C384}">
  <sheetPr>
    <pageSetUpPr fitToPage="1"/>
  </sheetPr>
  <dimension ref="A1:S236"/>
  <sheetViews>
    <sheetView zoomScale="55" zoomScaleNormal="55" workbookViewId="0">
      <selection activeCell="K55" sqref="K55"/>
    </sheetView>
  </sheetViews>
  <sheetFormatPr baseColWidth="10" defaultColWidth="8.7109375" defaultRowHeight="15" customHeight="1"/>
  <cols>
    <col min="1" max="1" width="51.85546875" style="36" customWidth="1"/>
    <col min="2" max="2" width="15" style="36" customWidth="1"/>
    <col min="3" max="3" width="8.7109375" style="36"/>
    <col min="4" max="4" width="11.42578125" style="36" customWidth="1"/>
    <col min="5" max="5" width="9.42578125" style="36" customWidth="1"/>
    <col min="6" max="6" width="14.7109375" style="36" customWidth="1"/>
    <col min="7" max="7" width="8.7109375" style="36"/>
    <col min="8" max="8" width="25" style="36" customWidth="1"/>
    <col min="9" max="9" width="9.5703125" style="36" customWidth="1"/>
    <col min="10" max="10" width="11.28515625" style="36" customWidth="1"/>
    <col min="11" max="11" width="15.7109375" style="36" customWidth="1"/>
    <col min="12" max="12" width="11.28515625" style="36" bestFit="1" customWidth="1"/>
    <col min="13" max="13" width="12.28515625" style="36" customWidth="1"/>
    <col min="14" max="14" width="13.28515625" style="36" customWidth="1"/>
    <col min="15" max="15" width="40.7109375" style="489" customWidth="1"/>
    <col min="16" max="16" width="29.28515625" style="36" bestFit="1" customWidth="1"/>
    <col min="17" max="17" width="17.5703125" style="36" customWidth="1"/>
    <col min="18" max="18" width="11.85546875" style="36" customWidth="1"/>
    <col min="19" max="26" width="6.7109375" style="36" customWidth="1"/>
    <col min="27" max="256" width="8.7109375" style="36"/>
    <col min="257" max="257" width="66" style="36" customWidth="1"/>
    <col min="258" max="258" width="15" style="36" customWidth="1"/>
    <col min="259" max="259" width="8.7109375" style="36"/>
    <col min="260" max="260" width="11.42578125" style="36" customWidth="1"/>
    <col min="261" max="261" width="9.42578125" style="36" customWidth="1"/>
    <col min="262" max="262" width="14.7109375" style="36" customWidth="1"/>
    <col min="263" max="263" width="8.7109375" style="36"/>
    <col min="264" max="264" width="25" style="36" customWidth="1"/>
    <col min="265" max="265" width="9.5703125" style="36" customWidth="1"/>
    <col min="266" max="266" width="11.28515625" style="36" customWidth="1"/>
    <col min="267" max="267" width="15.7109375" style="36" customWidth="1"/>
    <col min="268" max="268" width="11.28515625" style="36" bestFit="1" customWidth="1"/>
    <col min="269" max="269" width="12.28515625" style="36" customWidth="1"/>
    <col min="270" max="270" width="13.28515625" style="36" customWidth="1"/>
    <col min="271" max="271" width="40.7109375" style="36" customWidth="1"/>
    <col min="272" max="272" width="29.28515625" style="36" bestFit="1" customWidth="1"/>
    <col min="273" max="273" width="17.5703125" style="36" customWidth="1"/>
    <col min="274" max="274" width="11.85546875" style="36" customWidth="1"/>
    <col min="275" max="282" width="6.7109375" style="36" customWidth="1"/>
    <col min="283" max="512" width="8.7109375" style="36"/>
    <col min="513" max="513" width="66" style="36" customWidth="1"/>
    <col min="514" max="514" width="15" style="36" customWidth="1"/>
    <col min="515" max="515" width="8.7109375" style="36"/>
    <col min="516" max="516" width="11.42578125" style="36" customWidth="1"/>
    <col min="517" max="517" width="9.42578125" style="36" customWidth="1"/>
    <col min="518" max="518" width="14.7109375" style="36" customWidth="1"/>
    <col min="519" max="519" width="8.7109375" style="36"/>
    <col min="520" max="520" width="25" style="36" customWidth="1"/>
    <col min="521" max="521" width="9.5703125" style="36" customWidth="1"/>
    <col min="522" max="522" width="11.28515625" style="36" customWidth="1"/>
    <col min="523" max="523" width="15.7109375" style="36" customWidth="1"/>
    <col min="524" max="524" width="11.28515625" style="36" bestFit="1" customWidth="1"/>
    <col min="525" max="525" width="12.28515625" style="36" customWidth="1"/>
    <col min="526" max="526" width="13.28515625" style="36" customWidth="1"/>
    <col min="527" max="527" width="40.7109375" style="36" customWidth="1"/>
    <col min="528" max="528" width="29.28515625" style="36" bestFit="1" customWidth="1"/>
    <col min="529" max="529" width="17.5703125" style="36" customWidth="1"/>
    <col min="530" max="530" width="11.85546875" style="36" customWidth="1"/>
    <col min="531" max="538" width="6.7109375" style="36" customWidth="1"/>
    <col min="539" max="768" width="8.7109375" style="36"/>
    <col min="769" max="769" width="66" style="36" customWidth="1"/>
    <col min="770" max="770" width="15" style="36" customWidth="1"/>
    <col min="771" max="771" width="8.7109375" style="36"/>
    <col min="772" max="772" width="11.42578125" style="36" customWidth="1"/>
    <col min="773" max="773" width="9.42578125" style="36" customWidth="1"/>
    <col min="774" max="774" width="14.7109375" style="36" customWidth="1"/>
    <col min="775" max="775" width="8.7109375" style="36"/>
    <col min="776" max="776" width="25" style="36" customWidth="1"/>
    <col min="777" max="777" width="9.5703125" style="36" customWidth="1"/>
    <col min="778" max="778" width="11.28515625" style="36" customWidth="1"/>
    <col min="779" max="779" width="15.7109375" style="36" customWidth="1"/>
    <col min="780" max="780" width="11.28515625" style="36" bestFit="1" customWidth="1"/>
    <col min="781" max="781" width="12.28515625" style="36" customWidth="1"/>
    <col min="782" max="782" width="13.28515625" style="36" customWidth="1"/>
    <col min="783" max="783" width="40.7109375" style="36" customWidth="1"/>
    <col min="784" max="784" width="29.28515625" style="36" bestFit="1" customWidth="1"/>
    <col min="785" max="785" width="17.5703125" style="36" customWidth="1"/>
    <col min="786" max="786" width="11.85546875" style="36" customWidth="1"/>
    <col min="787" max="794" width="6.7109375" style="36" customWidth="1"/>
    <col min="795" max="1024" width="8.7109375" style="36"/>
    <col min="1025" max="1025" width="66" style="36" customWidth="1"/>
    <col min="1026" max="1026" width="15" style="36" customWidth="1"/>
    <col min="1027" max="1027" width="8.7109375" style="36"/>
    <col min="1028" max="1028" width="11.42578125" style="36" customWidth="1"/>
    <col min="1029" max="1029" width="9.42578125" style="36" customWidth="1"/>
    <col min="1030" max="1030" width="14.7109375" style="36" customWidth="1"/>
    <col min="1031" max="1031" width="8.7109375" style="36"/>
    <col min="1032" max="1032" width="25" style="36" customWidth="1"/>
    <col min="1033" max="1033" width="9.5703125" style="36" customWidth="1"/>
    <col min="1034" max="1034" width="11.28515625" style="36" customWidth="1"/>
    <col min="1035" max="1035" width="15.7109375" style="36" customWidth="1"/>
    <col min="1036" max="1036" width="11.28515625" style="36" bestFit="1" customWidth="1"/>
    <col min="1037" max="1037" width="12.28515625" style="36" customWidth="1"/>
    <col min="1038" max="1038" width="13.28515625" style="36" customWidth="1"/>
    <col min="1039" max="1039" width="40.7109375" style="36" customWidth="1"/>
    <col min="1040" max="1040" width="29.28515625" style="36" bestFit="1" customWidth="1"/>
    <col min="1041" max="1041" width="17.5703125" style="36" customWidth="1"/>
    <col min="1042" max="1042" width="11.85546875" style="36" customWidth="1"/>
    <col min="1043" max="1050" width="6.7109375" style="36" customWidth="1"/>
    <col min="1051" max="1280" width="8.7109375" style="36"/>
    <col min="1281" max="1281" width="66" style="36" customWidth="1"/>
    <col min="1282" max="1282" width="15" style="36" customWidth="1"/>
    <col min="1283" max="1283" width="8.7109375" style="36"/>
    <col min="1284" max="1284" width="11.42578125" style="36" customWidth="1"/>
    <col min="1285" max="1285" width="9.42578125" style="36" customWidth="1"/>
    <col min="1286" max="1286" width="14.7109375" style="36" customWidth="1"/>
    <col min="1287" max="1287" width="8.7109375" style="36"/>
    <col min="1288" max="1288" width="25" style="36" customWidth="1"/>
    <col min="1289" max="1289" width="9.5703125" style="36" customWidth="1"/>
    <col min="1290" max="1290" width="11.28515625" style="36" customWidth="1"/>
    <col min="1291" max="1291" width="15.7109375" style="36" customWidth="1"/>
    <col min="1292" max="1292" width="11.28515625" style="36" bestFit="1" customWidth="1"/>
    <col min="1293" max="1293" width="12.28515625" style="36" customWidth="1"/>
    <col min="1294" max="1294" width="13.28515625" style="36" customWidth="1"/>
    <col min="1295" max="1295" width="40.7109375" style="36" customWidth="1"/>
    <col min="1296" max="1296" width="29.28515625" style="36" bestFit="1" customWidth="1"/>
    <col min="1297" max="1297" width="17.5703125" style="36" customWidth="1"/>
    <col min="1298" max="1298" width="11.85546875" style="36" customWidth="1"/>
    <col min="1299" max="1306" width="6.7109375" style="36" customWidth="1"/>
    <col min="1307" max="1536" width="8.7109375" style="36"/>
    <col min="1537" max="1537" width="66" style="36" customWidth="1"/>
    <col min="1538" max="1538" width="15" style="36" customWidth="1"/>
    <col min="1539" max="1539" width="8.7109375" style="36"/>
    <col min="1540" max="1540" width="11.42578125" style="36" customWidth="1"/>
    <col min="1541" max="1541" width="9.42578125" style="36" customWidth="1"/>
    <col min="1542" max="1542" width="14.7109375" style="36" customWidth="1"/>
    <col min="1543" max="1543" width="8.7109375" style="36"/>
    <col min="1544" max="1544" width="25" style="36" customWidth="1"/>
    <col min="1545" max="1545" width="9.5703125" style="36" customWidth="1"/>
    <col min="1546" max="1546" width="11.28515625" style="36" customWidth="1"/>
    <col min="1547" max="1547" width="15.7109375" style="36" customWidth="1"/>
    <col min="1548" max="1548" width="11.28515625" style="36" bestFit="1" customWidth="1"/>
    <col min="1549" max="1549" width="12.28515625" style="36" customWidth="1"/>
    <col min="1550" max="1550" width="13.28515625" style="36" customWidth="1"/>
    <col min="1551" max="1551" width="40.7109375" style="36" customWidth="1"/>
    <col min="1552" max="1552" width="29.28515625" style="36" bestFit="1" customWidth="1"/>
    <col min="1553" max="1553" width="17.5703125" style="36" customWidth="1"/>
    <col min="1554" max="1554" width="11.85546875" style="36" customWidth="1"/>
    <col min="1555" max="1562" width="6.7109375" style="36" customWidth="1"/>
    <col min="1563" max="1792" width="8.7109375" style="36"/>
    <col min="1793" max="1793" width="66" style="36" customWidth="1"/>
    <col min="1794" max="1794" width="15" style="36" customWidth="1"/>
    <col min="1795" max="1795" width="8.7109375" style="36"/>
    <col min="1796" max="1796" width="11.42578125" style="36" customWidth="1"/>
    <col min="1797" max="1797" width="9.42578125" style="36" customWidth="1"/>
    <col min="1798" max="1798" width="14.7109375" style="36" customWidth="1"/>
    <col min="1799" max="1799" width="8.7109375" style="36"/>
    <col min="1800" max="1800" width="25" style="36" customWidth="1"/>
    <col min="1801" max="1801" width="9.5703125" style="36" customWidth="1"/>
    <col min="1802" max="1802" width="11.28515625" style="36" customWidth="1"/>
    <col min="1803" max="1803" width="15.7109375" style="36" customWidth="1"/>
    <col min="1804" max="1804" width="11.28515625" style="36" bestFit="1" customWidth="1"/>
    <col min="1805" max="1805" width="12.28515625" style="36" customWidth="1"/>
    <col min="1806" max="1806" width="13.28515625" style="36" customWidth="1"/>
    <col min="1807" max="1807" width="40.7109375" style="36" customWidth="1"/>
    <col min="1808" max="1808" width="29.28515625" style="36" bestFit="1" customWidth="1"/>
    <col min="1809" max="1809" width="17.5703125" style="36" customWidth="1"/>
    <col min="1810" max="1810" width="11.85546875" style="36" customWidth="1"/>
    <col min="1811" max="1818" width="6.7109375" style="36" customWidth="1"/>
    <col min="1819" max="2048" width="8.7109375" style="36"/>
    <col min="2049" max="2049" width="66" style="36" customWidth="1"/>
    <col min="2050" max="2050" width="15" style="36" customWidth="1"/>
    <col min="2051" max="2051" width="8.7109375" style="36"/>
    <col min="2052" max="2052" width="11.42578125" style="36" customWidth="1"/>
    <col min="2053" max="2053" width="9.42578125" style="36" customWidth="1"/>
    <col min="2054" max="2054" width="14.7109375" style="36" customWidth="1"/>
    <col min="2055" max="2055" width="8.7109375" style="36"/>
    <col min="2056" max="2056" width="25" style="36" customWidth="1"/>
    <col min="2057" max="2057" width="9.5703125" style="36" customWidth="1"/>
    <col min="2058" max="2058" width="11.28515625" style="36" customWidth="1"/>
    <col min="2059" max="2059" width="15.7109375" style="36" customWidth="1"/>
    <col min="2060" max="2060" width="11.28515625" style="36" bestFit="1" customWidth="1"/>
    <col min="2061" max="2061" width="12.28515625" style="36" customWidth="1"/>
    <col min="2062" max="2062" width="13.28515625" style="36" customWidth="1"/>
    <col min="2063" max="2063" width="40.7109375" style="36" customWidth="1"/>
    <col min="2064" max="2064" width="29.28515625" style="36" bestFit="1" customWidth="1"/>
    <col min="2065" max="2065" width="17.5703125" style="36" customWidth="1"/>
    <col min="2066" max="2066" width="11.85546875" style="36" customWidth="1"/>
    <col min="2067" max="2074" width="6.7109375" style="36" customWidth="1"/>
    <col min="2075" max="2304" width="8.7109375" style="36"/>
    <col min="2305" max="2305" width="66" style="36" customWidth="1"/>
    <col min="2306" max="2306" width="15" style="36" customWidth="1"/>
    <col min="2307" max="2307" width="8.7109375" style="36"/>
    <col min="2308" max="2308" width="11.42578125" style="36" customWidth="1"/>
    <col min="2309" max="2309" width="9.42578125" style="36" customWidth="1"/>
    <col min="2310" max="2310" width="14.7109375" style="36" customWidth="1"/>
    <col min="2311" max="2311" width="8.7109375" style="36"/>
    <col min="2312" max="2312" width="25" style="36" customWidth="1"/>
    <col min="2313" max="2313" width="9.5703125" style="36" customWidth="1"/>
    <col min="2314" max="2314" width="11.28515625" style="36" customWidth="1"/>
    <col min="2315" max="2315" width="15.7109375" style="36" customWidth="1"/>
    <col min="2316" max="2316" width="11.28515625" style="36" bestFit="1" customWidth="1"/>
    <col min="2317" max="2317" width="12.28515625" style="36" customWidth="1"/>
    <col min="2318" max="2318" width="13.28515625" style="36" customWidth="1"/>
    <col min="2319" max="2319" width="40.7109375" style="36" customWidth="1"/>
    <col min="2320" max="2320" width="29.28515625" style="36" bestFit="1" customWidth="1"/>
    <col min="2321" max="2321" width="17.5703125" style="36" customWidth="1"/>
    <col min="2322" max="2322" width="11.85546875" style="36" customWidth="1"/>
    <col min="2323" max="2330" width="6.7109375" style="36" customWidth="1"/>
    <col min="2331" max="2560" width="8.7109375" style="36"/>
    <col min="2561" max="2561" width="66" style="36" customWidth="1"/>
    <col min="2562" max="2562" width="15" style="36" customWidth="1"/>
    <col min="2563" max="2563" width="8.7109375" style="36"/>
    <col min="2564" max="2564" width="11.42578125" style="36" customWidth="1"/>
    <col min="2565" max="2565" width="9.42578125" style="36" customWidth="1"/>
    <col min="2566" max="2566" width="14.7109375" style="36" customWidth="1"/>
    <col min="2567" max="2567" width="8.7109375" style="36"/>
    <col min="2568" max="2568" width="25" style="36" customWidth="1"/>
    <col min="2569" max="2569" width="9.5703125" style="36" customWidth="1"/>
    <col min="2570" max="2570" width="11.28515625" style="36" customWidth="1"/>
    <col min="2571" max="2571" width="15.7109375" style="36" customWidth="1"/>
    <col min="2572" max="2572" width="11.28515625" style="36" bestFit="1" customWidth="1"/>
    <col min="2573" max="2573" width="12.28515625" style="36" customWidth="1"/>
    <col min="2574" max="2574" width="13.28515625" style="36" customWidth="1"/>
    <col min="2575" max="2575" width="40.7109375" style="36" customWidth="1"/>
    <col min="2576" max="2576" width="29.28515625" style="36" bestFit="1" customWidth="1"/>
    <col min="2577" max="2577" width="17.5703125" style="36" customWidth="1"/>
    <col min="2578" max="2578" width="11.85546875" style="36" customWidth="1"/>
    <col min="2579" max="2586" width="6.7109375" style="36" customWidth="1"/>
    <col min="2587" max="2816" width="8.7109375" style="36"/>
    <col min="2817" max="2817" width="66" style="36" customWidth="1"/>
    <col min="2818" max="2818" width="15" style="36" customWidth="1"/>
    <col min="2819" max="2819" width="8.7109375" style="36"/>
    <col min="2820" max="2820" width="11.42578125" style="36" customWidth="1"/>
    <col min="2821" max="2821" width="9.42578125" style="36" customWidth="1"/>
    <col min="2822" max="2822" width="14.7109375" style="36" customWidth="1"/>
    <col min="2823" max="2823" width="8.7109375" style="36"/>
    <col min="2824" max="2824" width="25" style="36" customWidth="1"/>
    <col min="2825" max="2825" width="9.5703125" style="36" customWidth="1"/>
    <col min="2826" max="2826" width="11.28515625" style="36" customWidth="1"/>
    <col min="2827" max="2827" width="15.7109375" style="36" customWidth="1"/>
    <col min="2828" max="2828" width="11.28515625" style="36" bestFit="1" customWidth="1"/>
    <col min="2829" max="2829" width="12.28515625" style="36" customWidth="1"/>
    <col min="2830" max="2830" width="13.28515625" style="36" customWidth="1"/>
    <col min="2831" max="2831" width="40.7109375" style="36" customWidth="1"/>
    <col min="2832" max="2832" width="29.28515625" style="36" bestFit="1" customWidth="1"/>
    <col min="2833" max="2833" width="17.5703125" style="36" customWidth="1"/>
    <col min="2834" max="2834" width="11.85546875" style="36" customWidth="1"/>
    <col min="2835" max="2842" width="6.7109375" style="36" customWidth="1"/>
    <col min="2843" max="3072" width="8.7109375" style="36"/>
    <col min="3073" max="3073" width="66" style="36" customWidth="1"/>
    <col min="3074" max="3074" width="15" style="36" customWidth="1"/>
    <col min="3075" max="3075" width="8.7109375" style="36"/>
    <col min="3076" max="3076" width="11.42578125" style="36" customWidth="1"/>
    <col min="3077" max="3077" width="9.42578125" style="36" customWidth="1"/>
    <col min="3078" max="3078" width="14.7109375" style="36" customWidth="1"/>
    <col min="3079" max="3079" width="8.7109375" style="36"/>
    <col min="3080" max="3080" width="25" style="36" customWidth="1"/>
    <col min="3081" max="3081" width="9.5703125" style="36" customWidth="1"/>
    <col min="3082" max="3082" width="11.28515625" style="36" customWidth="1"/>
    <col min="3083" max="3083" width="15.7109375" style="36" customWidth="1"/>
    <col min="3084" max="3084" width="11.28515625" style="36" bestFit="1" customWidth="1"/>
    <col min="3085" max="3085" width="12.28515625" style="36" customWidth="1"/>
    <col min="3086" max="3086" width="13.28515625" style="36" customWidth="1"/>
    <col min="3087" max="3087" width="40.7109375" style="36" customWidth="1"/>
    <col min="3088" max="3088" width="29.28515625" style="36" bestFit="1" customWidth="1"/>
    <col min="3089" max="3089" width="17.5703125" style="36" customWidth="1"/>
    <col min="3090" max="3090" width="11.85546875" style="36" customWidth="1"/>
    <col min="3091" max="3098" width="6.7109375" style="36" customWidth="1"/>
    <col min="3099" max="3328" width="8.7109375" style="36"/>
    <col min="3329" max="3329" width="66" style="36" customWidth="1"/>
    <col min="3330" max="3330" width="15" style="36" customWidth="1"/>
    <col min="3331" max="3331" width="8.7109375" style="36"/>
    <col min="3332" max="3332" width="11.42578125" style="36" customWidth="1"/>
    <col min="3333" max="3333" width="9.42578125" style="36" customWidth="1"/>
    <col min="3334" max="3334" width="14.7109375" style="36" customWidth="1"/>
    <col min="3335" max="3335" width="8.7109375" style="36"/>
    <col min="3336" max="3336" width="25" style="36" customWidth="1"/>
    <col min="3337" max="3337" width="9.5703125" style="36" customWidth="1"/>
    <col min="3338" max="3338" width="11.28515625" style="36" customWidth="1"/>
    <col min="3339" max="3339" width="15.7109375" style="36" customWidth="1"/>
    <col min="3340" max="3340" width="11.28515625" style="36" bestFit="1" customWidth="1"/>
    <col min="3341" max="3341" width="12.28515625" style="36" customWidth="1"/>
    <col min="3342" max="3342" width="13.28515625" style="36" customWidth="1"/>
    <col min="3343" max="3343" width="40.7109375" style="36" customWidth="1"/>
    <col min="3344" max="3344" width="29.28515625" style="36" bestFit="1" customWidth="1"/>
    <col min="3345" max="3345" width="17.5703125" style="36" customWidth="1"/>
    <col min="3346" max="3346" width="11.85546875" style="36" customWidth="1"/>
    <col min="3347" max="3354" width="6.7109375" style="36" customWidth="1"/>
    <col min="3355" max="3584" width="8.7109375" style="36"/>
    <col min="3585" max="3585" width="66" style="36" customWidth="1"/>
    <col min="3586" max="3586" width="15" style="36" customWidth="1"/>
    <col min="3587" max="3587" width="8.7109375" style="36"/>
    <col min="3588" max="3588" width="11.42578125" style="36" customWidth="1"/>
    <col min="3589" max="3589" width="9.42578125" style="36" customWidth="1"/>
    <col min="3590" max="3590" width="14.7109375" style="36" customWidth="1"/>
    <col min="3591" max="3591" width="8.7109375" style="36"/>
    <col min="3592" max="3592" width="25" style="36" customWidth="1"/>
    <col min="3593" max="3593" width="9.5703125" style="36" customWidth="1"/>
    <col min="3594" max="3594" width="11.28515625" style="36" customWidth="1"/>
    <col min="3595" max="3595" width="15.7109375" style="36" customWidth="1"/>
    <col min="3596" max="3596" width="11.28515625" style="36" bestFit="1" customWidth="1"/>
    <col min="3597" max="3597" width="12.28515625" style="36" customWidth="1"/>
    <col min="3598" max="3598" width="13.28515625" style="36" customWidth="1"/>
    <col min="3599" max="3599" width="40.7109375" style="36" customWidth="1"/>
    <col min="3600" max="3600" width="29.28515625" style="36" bestFit="1" customWidth="1"/>
    <col min="3601" max="3601" width="17.5703125" style="36" customWidth="1"/>
    <col min="3602" max="3602" width="11.85546875" style="36" customWidth="1"/>
    <col min="3603" max="3610" width="6.7109375" style="36" customWidth="1"/>
    <col min="3611" max="3840" width="8.7109375" style="36"/>
    <col min="3841" max="3841" width="66" style="36" customWidth="1"/>
    <col min="3842" max="3842" width="15" style="36" customWidth="1"/>
    <col min="3843" max="3843" width="8.7109375" style="36"/>
    <col min="3844" max="3844" width="11.42578125" style="36" customWidth="1"/>
    <col min="3845" max="3845" width="9.42578125" style="36" customWidth="1"/>
    <col min="3846" max="3846" width="14.7109375" style="36" customWidth="1"/>
    <col min="3847" max="3847" width="8.7109375" style="36"/>
    <col min="3848" max="3848" width="25" style="36" customWidth="1"/>
    <col min="3849" max="3849" width="9.5703125" style="36" customWidth="1"/>
    <col min="3850" max="3850" width="11.28515625" style="36" customWidth="1"/>
    <col min="3851" max="3851" width="15.7109375" style="36" customWidth="1"/>
    <col min="3852" max="3852" width="11.28515625" style="36" bestFit="1" customWidth="1"/>
    <col min="3853" max="3853" width="12.28515625" style="36" customWidth="1"/>
    <col min="3854" max="3854" width="13.28515625" style="36" customWidth="1"/>
    <col min="3855" max="3855" width="40.7109375" style="36" customWidth="1"/>
    <col min="3856" max="3856" width="29.28515625" style="36" bestFit="1" customWidth="1"/>
    <col min="3857" max="3857" width="17.5703125" style="36" customWidth="1"/>
    <col min="3858" max="3858" width="11.85546875" style="36" customWidth="1"/>
    <col min="3859" max="3866" width="6.7109375" style="36" customWidth="1"/>
    <col min="3867" max="4096" width="8.7109375" style="36"/>
    <col min="4097" max="4097" width="66" style="36" customWidth="1"/>
    <col min="4098" max="4098" width="15" style="36" customWidth="1"/>
    <col min="4099" max="4099" width="8.7109375" style="36"/>
    <col min="4100" max="4100" width="11.42578125" style="36" customWidth="1"/>
    <col min="4101" max="4101" width="9.42578125" style="36" customWidth="1"/>
    <col min="4102" max="4102" width="14.7109375" style="36" customWidth="1"/>
    <col min="4103" max="4103" width="8.7109375" style="36"/>
    <col min="4104" max="4104" width="25" style="36" customWidth="1"/>
    <col min="4105" max="4105" width="9.5703125" style="36" customWidth="1"/>
    <col min="4106" max="4106" width="11.28515625" style="36" customWidth="1"/>
    <col min="4107" max="4107" width="15.7109375" style="36" customWidth="1"/>
    <col min="4108" max="4108" width="11.28515625" style="36" bestFit="1" customWidth="1"/>
    <col min="4109" max="4109" width="12.28515625" style="36" customWidth="1"/>
    <col min="4110" max="4110" width="13.28515625" style="36" customWidth="1"/>
    <col min="4111" max="4111" width="40.7109375" style="36" customWidth="1"/>
    <col min="4112" max="4112" width="29.28515625" style="36" bestFit="1" customWidth="1"/>
    <col min="4113" max="4113" width="17.5703125" style="36" customWidth="1"/>
    <col min="4114" max="4114" width="11.85546875" style="36" customWidth="1"/>
    <col min="4115" max="4122" width="6.7109375" style="36" customWidth="1"/>
    <col min="4123" max="4352" width="8.7109375" style="36"/>
    <col min="4353" max="4353" width="66" style="36" customWidth="1"/>
    <col min="4354" max="4354" width="15" style="36" customWidth="1"/>
    <col min="4355" max="4355" width="8.7109375" style="36"/>
    <col min="4356" max="4356" width="11.42578125" style="36" customWidth="1"/>
    <col min="4357" max="4357" width="9.42578125" style="36" customWidth="1"/>
    <col min="4358" max="4358" width="14.7109375" style="36" customWidth="1"/>
    <col min="4359" max="4359" width="8.7109375" style="36"/>
    <col min="4360" max="4360" width="25" style="36" customWidth="1"/>
    <col min="4361" max="4361" width="9.5703125" style="36" customWidth="1"/>
    <col min="4362" max="4362" width="11.28515625" style="36" customWidth="1"/>
    <col min="4363" max="4363" width="15.7109375" style="36" customWidth="1"/>
    <col min="4364" max="4364" width="11.28515625" style="36" bestFit="1" customWidth="1"/>
    <col min="4365" max="4365" width="12.28515625" style="36" customWidth="1"/>
    <col min="4366" max="4366" width="13.28515625" style="36" customWidth="1"/>
    <col min="4367" max="4367" width="40.7109375" style="36" customWidth="1"/>
    <col min="4368" max="4368" width="29.28515625" style="36" bestFit="1" customWidth="1"/>
    <col min="4369" max="4369" width="17.5703125" style="36" customWidth="1"/>
    <col min="4370" max="4370" width="11.85546875" style="36" customWidth="1"/>
    <col min="4371" max="4378" width="6.7109375" style="36" customWidth="1"/>
    <col min="4379" max="4608" width="8.7109375" style="36"/>
    <col min="4609" max="4609" width="66" style="36" customWidth="1"/>
    <col min="4610" max="4610" width="15" style="36" customWidth="1"/>
    <col min="4611" max="4611" width="8.7109375" style="36"/>
    <col min="4612" max="4612" width="11.42578125" style="36" customWidth="1"/>
    <col min="4613" max="4613" width="9.42578125" style="36" customWidth="1"/>
    <col min="4614" max="4614" width="14.7109375" style="36" customWidth="1"/>
    <col min="4615" max="4615" width="8.7109375" style="36"/>
    <col min="4616" max="4616" width="25" style="36" customWidth="1"/>
    <col min="4617" max="4617" width="9.5703125" style="36" customWidth="1"/>
    <col min="4618" max="4618" width="11.28515625" style="36" customWidth="1"/>
    <col min="4619" max="4619" width="15.7109375" style="36" customWidth="1"/>
    <col min="4620" max="4620" width="11.28515625" style="36" bestFit="1" customWidth="1"/>
    <col min="4621" max="4621" width="12.28515625" style="36" customWidth="1"/>
    <col min="4622" max="4622" width="13.28515625" style="36" customWidth="1"/>
    <col min="4623" max="4623" width="40.7109375" style="36" customWidth="1"/>
    <col min="4624" max="4624" width="29.28515625" style="36" bestFit="1" customWidth="1"/>
    <col min="4625" max="4625" width="17.5703125" style="36" customWidth="1"/>
    <col min="4626" max="4626" width="11.85546875" style="36" customWidth="1"/>
    <col min="4627" max="4634" width="6.7109375" style="36" customWidth="1"/>
    <col min="4635" max="4864" width="8.7109375" style="36"/>
    <col min="4865" max="4865" width="66" style="36" customWidth="1"/>
    <col min="4866" max="4866" width="15" style="36" customWidth="1"/>
    <col min="4867" max="4867" width="8.7109375" style="36"/>
    <col min="4868" max="4868" width="11.42578125" style="36" customWidth="1"/>
    <col min="4869" max="4869" width="9.42578125" style="36" customWidth="1"/>
    <col min="4870" max="4870" width="14.7109375" style="36" customWidth="1"/>
    <col min="4871" max="4871" width="8.7109375" style="36"/>
    <col min="4872" max="4872" width="25" style="36" customWidth="1"/>
    <col min="4873" max="4873" width="9.5703125" style="36" customWidth="1"/>
    <col min="4874" max="4874" width="11.28515625" style="36" customWidth="1"/>
    <col min="4875" max="4875" width="15.7109375" style="36" customWidth="1"/>
    <col min="4876" max="4876" width="11.28515625" style="36" bestFit="1" customWidth="1"/>
    <col min="4877" max="4877" width="12.28515625" style="36" customWidth="1"/>
    <col min="4878" max="4878" width="13.28515625" style="36" customWidth="1"/>
    <col min="4879" max="4879" width="40.7109375" style="36" customWidth="1"/>
    <col min="4880" max="4880" width="29.28515625" style="36" bestFit="1" customWidth="1"/>
    <col min="4881" max="4881" width="17.5703125" style="36" customWidth="1"/>
    <col min="4882" max="4882" width="11.85546875" style="36" customWidth="1"/>
    <col min="4883" max="4890" width="6.7109375" style="36" customWidth="1"/>
    <col min="4891" max="5120" width="8.7109375" style="36"/>
    <col min="5121" max="5121" width="66" style="36" customWidth="1"/>
    <col min="5122" max="5122" width="15" style="36" customWidth="1"/>
    <col min="5123" max="5123" width="8.7109375" style="36"/>
    <col min="5124" max="5124" width="11.42578125" style="36" customWidth="1"/>
    <col min="5125" max="5125" width="9.42578125" style="36" customWidth="1"/>
    <col min="5126" max="5126" width="14.7109375" style="36" customWidth="1"/>
    <col min="5127" max="5127" width="8.7109375" style="36"/>
    <col min="5128" max="5128" width="25" style="36" customWidth="1"/>
    <col min="5129" max="5129" width="9.5703125" style="36" customWidth="1"/>
    <col min="5130" max="5130" width="11.28515625" style="36" customWidth="1"/>
    <col min="5131" max="5131" width="15.7109375" style="36" customWidth="1"/>
    <col min="5132" max="5132" width="11.28515625" style="36" bestFit="1" customWidth="1"/>
    <col min="5133" max="5133" width="12.28515625" style="36" customWidth="1"/>
    <col min="5134" max="5134" width="13.28515625" style="36" customWidth="1"/>
    <col min="5135" max="5135" width="40.7109375" style="36" customWidth="1"/>
    <col min="5136" max="5136" width="29.28515625" style="36" bestFit="1" customWidth="1"/>
    <col min="5137" max="5137" width="17.5703125" style="36" customWidth="1"/>
    <col min="5138" max="5138" width="11.85546875" style="36" customWidth="1"/>
    <col min="5139" max="5146" width="6.7109375" style="36" customWidth="1"/>
    <col min="5147" max="5376" width="8.7109375" style="36"/>
    <col min="5377" max="5377" width="66" style="36" customWidth="1"/>
    <col min="5378" max="5378" width="15" style="36" customWidth="1"/>
    <col min="5379" max="5379" width="8.7109375" style="36"/>
    <col min="5380" max="5380" width="11.42578125" style="36" customWidth="1"/>
    <col min="5381" max="5381" width="9.42578125" style="36" customWidth="1"/>
    <col min="5382" max="5382" width="14.7109375" style="36" customWidth="1"/>
    <col min="5383" max="5383" width="8.7109375" style="36"/>
    <col min="5384" max="5384" width="25" style="36" customWidth="1"/>
    <col min="5385" max="5385" width="9.5703125" style="36" customWidth="1"/>
    <col min="5386" max="5386" width="11.28515625" style="36" customWidth="1"/>
    <col min="5387" max="5387" width="15.7109375" style="36" customWidth="1"/>
    <col min="5388" max="5388" width="11.28515625" style="36" bestFit="1" customWidth="1"/>
    <col min="5389" max="5389" width="12.28515625" style="36" customWidth="1"/>
    <col min="5390" max="5390" width="13.28515625" style="36" customWidth="1"/>
    <col min="5391" max="5391" width="40.7109375" style="36" customWidth="1"/>
    <col min="5392" max="5392" width="29.28515625" style="36" bestFit="1" customWidth="1"/>
    <col min="5393" max="5393" width="17.5703125" style="36" customWidth="1"/>
    <col min="5394" max="5394" width="11.85546875" style="36" customWidth="1"/>
    <col min="5395" max="5402" width="6.7109375" style="36" customWidth="1"/>
    <col min="5403" max="5632" width="8.7109375" style="36"/>
    <col min="5633" max="5633" width="66" style="36" customWidth="1"/>
    <col min="5634" max="5634" width="15" style="36" customWidth="1"/>
    <col min="5635" max="5635" width="8.7109375" style="36"/>
    <col min="5636" max="5636" width="11.42578125" style="36" customWidth="1"/>
    <col min="5637" max="5637" width="9.42578125" style="36" customWidth="1"/>
    <col min="5638" max="5638" width="14.7109375" style="36" customWidth="1"/>
    <col min="5639" max="5639" width="8.7109375" style="36"/>
    <col min="5640" max="5640" width="25" style="36" customWidth="1"/>
    <col min="5641" max="5641" width="9.5703125" style="36" customWidth="1"/>
    <col min="5642" max="5642" width="11.28515625" style="36" customWidth="1"/>
    <col min="5643" max="5643" width="15.7109375" style="36" customWidth="1"/>
    <col min="5644" max="5644" width="11.28515625" style="36" bestFit="1" customWidth="1"/>
    <col min="5645" max="5645" width="12.28515625" style="36" customWidth="1"/>
    <col min="5646" max="5646" width="13.28515625" style="36" customWidth="1"/>
    <col min="5647" max="5647" width="40.7109375" style="36" customWidth="1"/>
    <col min="5648" max="5648" width="29.28515625" style="36" bestFit="1" customWidth="1"/>
    <col min="5649" max="5649" width="17.5703125" style="36" customWidth="1"/>
    <col min="5650" max="5650" width="11.85546875" style="36" customWidth="1"/>
    <col min="5651" max="5658" width="6.7109375" style="36" customWidth="1"/>
    <col min="5659" max="5888" width="8.7109375" style="36"/>
    <col min="5889" max="5889" width="66" style="36" customWidth="1"/>
    <col min="5890" max="5890" width="15" style="36" customWidth="1"/>
    <col min="5891" max="5891" width="8.7109375" style="36"/>
    <col min="5892" max="5892" width="11.42578125" style="36" customWidth="1"/>
    <col min="5893" max="5893" width="9.42578125" style="36" customWidth="1"/>
    <col min="5894" max="5894" width="14.7109375" style="36" customWidth="1"/>
    <col min="5895" max="5895" width="8.7109375" style="36"/>
    <col min="5896" max="5896" width="25" style="36" customWidth="1"/>
    <col min="5897" max="5897" width="9.5703125" style="36" customWidth="1"/>
    <col min="5898" max="5898" width="11.28515625" style="36" customWidth="1"/>
    <col min="5899" max="5899" width="15.7109375" style="36" customWidth="1"/>
    <col min="5900" max="5900" width="11.28515625" style="36" bestFit="1" customWidth="1"/>
    <col min="5901" max="5901" width="12.28515625" style="36" customWidth="1"/>
    <col min="5902" max="5902" width="13.28515625" style="36" customWidth="1"/>
    <col min="5903" max="5903" width="40.7109375" style="36" customWidth="1"/>
    <col min="5904" max="5904" width="29.28515625" style="36" bestFit="1" customWidth="1"/>
    <col min="5905" max="5905" width="17.5703125" style="36" customWidth="1"/>
    <col min="5906" max="5906" width="11.85546875" style="36" customWidth="1"/>
    <col min="5907" max="5914" width="6.7109375" style="36" customWidth="1"/>
    <col min="5915" max="6144" width="8.7109375" style="36"/>
    <col min="6145" max="6145" width="66" style="36" customWidth="1"/>
    <col min="6146" max="6146" width="15" style="36" customWidth="1"/>
    <col min="6147" max="6147" width="8.7109375" style="36"/>
    <col min="6148" max="6148" width="11.42578125" style="36" customWidth="1"/>
    <col min="6149" max="6149" width="9.42578125" style="36" customWidth="1"/>
    <col min="6150" max="6150" width="14.7109375" style="36" customWidth="1"/>
    <col min="6151" max="6151" width="8.7109375" style="36"/>
    <col min="6152" max="6152" width="25" style="36" customWidth="1"/>
    <col min="6153" max="6153" width="9.5703125" style="36" customWidth="1"/>
    <col min="6154" max="6154" width="11.28515625" style="36" customWidth="1"/>
    <col min="6155" max="6155" width="15.7109375" style="36" customWidth="1"/>
    <col min="6156" max="6156" width="11.28515625" style="36" bestFit="1" customWidth="1"/>
    <col min="6157" max="6157" width="12.28515625" style="36" customWidth="1"/>
    <col min="6158" max="6158" width="13.28515625" style="36" customWidth="1"/>
    <col min="6159" max="6159" width="40.7109375" style="36" customWidth="1"/>
    <col min="6160" max="6160" width="29.28515625" style="36" bestFit="1" customWidth="1"/>
    <col min="6161" max="6161" width="17.5703125" style="36" customWidth="1"/>
    <col min="6162" max="6162" width="11.85546875" style="36" customWidth="1"/>
    <col min="6163" max="6170" width="6.7109375" style="36" customWidth="1"/>
    <col min="6171" max="6400" width="8.7109375" style="36"/>
    <col min="6401" max="6401" width="66" style="36" customWidth="1"/>
    <col min="6402" max="6402" width="15" style="36" customWidth="1"/>
    <col min="6403" max="6403" width="8.7109375" style="36"/>
    <col min="6404" max="6404" width="11.42578125" style="36" customWidth="1"/>
    <col min="6405" max="6405" width="9.42578125" style="36" customWidth="1"/>
    <col min="6406" max="6406" width="14.7109375" style="36" customWidth="1"/>
    <col min="6407" max="6407" width="8.7109375" style="36"/>
    <col min="6408" max="6408" width="25" style="36" customWidth="1"/>
    <col min="6409" max="6409" width="9.5703125" style="36" customWidth="1"/>
    <col min="6410" max="6410" width="11.28515625" style="36" customWidth="1"/>
    <col min="6411" max="6411" width="15.7109375" style="36" customWidth="1"/>
    <col min="6412" max="6412" width="11.28515625" style="36" bestFit="1" customWidth="1"/>
    <col min="6413" max="6413" width="12.28515625" style="36" customWidth="1"/>
    <col min="6414" max="6414" width="13.28515625" style="36" customWidth="1"/>
    <col min="6415" max="6415" width="40.7109375" style="36" customWidth="1"/>
    <col min="6416" max="6416" width="29.28515625" style="36" bestFit="1" customWidth="1"/>
    <col min="6417" max="6417" width="17.5703125" style="36" customWidth="1"/>
    <col min="6418" max="6418" width="11.85546875" style="36" customWidth="1"/>
    <col min="6419" max="6426" width="6.7109375" style="36" customWidth="1"/>
    <col min="6427" max="6656" width="8.7109375" style="36"/>
    <col min="6657" max="6657" width="66" style="36" customWidth="1"/>
    <col min="6658" max="6658" width="15" style="36" customWidth="1"/>
    <col min="6659" max="6659" width="8.7109375" style="36"/>
    <col min="6660" max="6660" width="11.42578125" style="36" customWidth="1"/>
    <col min="6661" max="6661" width="9.42578125" style="36" customWidth="1"/>
    <col min="6662" max="6662" width="14.7109375" style="36" customWidth="1"/>
    <col min="6663" max="6663" width="8.7109375" style="36"/>
    <col min="6664" max="6664" width="25" style="36" customWidth="1"/>
    <col min="6665" max="6665" width="9.5703125" style="36" customWidth="1"/>
    <col min="6666" max="6666" width="11.28515625" style="36" customWidth="1"/>
    <col min="6667" max="6667" width="15.7109375" style="36" customWidth="1"/>
    <col min="6668" max="6668" width="11.28515625" style="36" bestFit="1" customWidth="1"/>
    <col min="6669" max="6669" width="12.28515625" style="36" customWidth="1"/>
    <col min="6670" max="6670" width="13.28515625" style="36" customWidth="1"/>
    <col min="6671" max="6671" width="40.7109375" style="36" customWidth="1"/>
    <col min="6672" max="6672" width="29.28515625" style="36" bestFit="1" customWidth="1"/>
    <col min="6673" max="6673" width="17.5703125" style="36" customWidth="1"/>
    <col min="6674" max="6674" width="11.85546875" style="36" customWidth="1"/>
    <col min="6675" max="6682" width="6.7109375" style="36" customWidth="1"/>
    <col min="6683" max="6912" width="8.7109375" style="36"/>
    <col min="6913" max="6913" width="66" style="36" customWidth="1"/>
    <col min="6914" max="6914" width="15" style="36" customWidth="1"/>
    <col min="6915" max="6915" width="8.7109375" style="36"/>
    <col min="6916" max="6916" width="11.42578125" style="36" customWidth="1"/>
    <col min="6917" max="6917" width="9.42578125" style="36" customWidth="1"/>
    <col min="6918" max="6918" width="14.7109375" style="36" customWidth="1"/>
    <col min="6919" max="6919" width="8.7109375" style="36"/>
    <col min="6920" max="6920" width="25" style="36" customWidth="1"/>
    <col min="6921" max="6921" width="9.5703125" style="36" customWidth="1"/>
    <col min="6922" max="6922" width="11.28515625" style="36" customWidth="1"/>
    <col min="6923" max="6923" width="15.7109375" style="36" customWidth="1"/>
    <col min="6924" max="6924" width="11.28515625" style="36" bestFit="1" customWidth="1"/>
    <col min="6925" max="6925" width="12.28515625" style="36" customWidth="1"/>
    <col min="6926" max="6926" width="13.28515625" style="36" customWidth="1"/>
    <col min="6927" max="6927" width="40.7109375" style="36" customWidth="1"/>
    <col min="6928" max="6928" width="29.28515625" style="36" bestFit="1" customWidth="1"/>
    <col min="6929" max="6929" width="17.5703125" style="36" customWidth="1"/>
    <col min="6930" max="6930" width="11.85546875" style="36" customWidth="1"/>
    <col min="6931" max="6938" width="6.7109375" style="36" customWidth="1"/>
    <col min="6939" max="7168" width="8.7109375" style="36"/>
    <col min="7169" max="7169" width="66" style="36" customWidth="1"/>
    <col min="7170" max="7170" width="15" style="36" customWidth="1"/>
    <col min="7171" max="7171" width="8.7109375" style="36"/>
    <col min="7172" max="7172" width="11.42578125" style="36" customWidth="1"/>
    <col min="7173" max="7173" width="9.42578125" style="36" customWidth="1"/>
    <col min="7174" max="7174" width="14.7109375" style="36" customWidth="1"/>
    <col min="7175" max="7175" width="8.7109375" style="36"/>
    <col min="7176" max="7176" width="25" style="36" customWidth="1"/>
    <col min="7177" max="7177" width="9.5703125" style="36" customWidth="1"/>
    <col min="7178" max="7178" width="11.28515625" style="36" customWidth="1"/>
    <col min="7179" max="7179" width="15.7109375" style="36" customWidth="1"/>
    <col min="7180" max="7180" width="11.28515625" style="36" bestFit="1" customWidth="1"/>
    <col min="7181" max="7181" width="12.28515625" style="36" customWidth="1"/>
    <col min="7182" max="7182" width="13.28515625" style="36" customWidth="1"/>
    <col min="7183" max="7183" width="40.7109375" style="36" customWidth="1"/>
    <col min="7184" max="7184" width="29.28515625" style="36" bestFit="1" customWidth="1"/>
    <col min="7185" max="7185" width="17.5703125" style="36" customWidth="1"/>
    <col min="7186" max="7186" width="11.85546875" style="36" customWidth="1"/>
    <col min="7187" max="7194" width="6.7109375" style="36" customWidth="1"/>
    <col min="7195" max="7424" width="8.7109375" style="36"/>
    <col min="7425" max="7425" width="66" style="36" customWidth="1"/>
    <col min="7426" max="7426" width="15" style="36" customWidth="1"/>
    <col min="7427" max="7427" width="8.7109375" style="36"/>
    <col min="7428" max="7428" width="11.42578125" style="36" customWidth="1"/>
    <col min="7429" max="7429" width="9.42578125" style="36" customWidth="1"/>
    <col min="7430" max="7430" width="14.7109375" style="36" customWidth="1"/>
    <col min="7431" max="7431" width="8.7109375" style="36"/>
    <col min="7432" max="7432" width="25" style="36" customWidth="1"/>
    <col min="7433" max="7433" width="9.5703125" style="36" customWidth="1"/>
    <col min="7434" max="7434" width="11.28515625" style="36" customWidth="1"/>
    <col min="7435" max="7435" width="15.7109375" style="36" customWidth="1"/>
    <col min="7436" max="7436" width="11.28515625" style="36" bestFit="1" customWidth="1"/>
    <col min="7437" max="7437" width="12.28515625" style="36" customWidth="1"/>
    <col min="7438" max="7438" width="13.28515625" style="36" customWidth="1"/>
    <col min="7439" max="7439" width="40.7109375" style="36" customWidth="1"/>
    <col min="7440" max="7440" width="29.28515625" style="36" bestFit="1" customWidth="1"/>
    <col min="7441" max="7441" width="17.5703125" style="36" customWidth="1"/>
    <col min="7442" max="7442" width="11.85546875" style="36" customWidth="1"/>
    <col min="7443" max="7450" width="6.7109375" style="36" customWidth="1"/>
    <col min="7451" max="7680" width="8.7109375" style="36"/>
    <col min="7681" max="7681" width="66" style="36" customWidth="1"/>
    <col min="7682" max="7682" width="15" style="36" customWidth="1"/>
    <col min="7683" max="7683" width="8.7109375" style="36"/>
    <col min="7684" max="7684" width="11.42578125" style="36" customWidth="1"/>
    <col min="7685" max="7685" width="9.42578125" style="36" customWidth="1"/>
    <col min="7686" max="7686" width="14.7109375" style="36" customWidth="1"/>
    <col min="7687" max="7687" width="8.7109375" style="36"/>
    <col min="7688" max="7688" width="25" style="36" customWidth="1"/>
    <col min="7689" max="7689" width="9.5703125" style="36" customWidth="1"/>
    <col min="7690" max="7690" width="11.28515625" style="36" customWidth="1"/>
    <col min="7691" max="7691" width="15.7109375" style="36" customWidth="1"/>
    <col min="7692" max="7692" width="11.28515625" style="36" bestFit="1" customWidth="1"/>
    <col min="7693" max="7693" width="12.28515625" style="36" customWidth="1"/>
    <col min="7694" max="7694" width="13.28515625" style="36" customWidth="1"/>
    <col min="7695" max="7695" width="40.7109375" style="36" customWidth="1"/>
    <col min="7696" max="7696" width="29.28515625" style="36" bestFit="1" customWidth="1"/>
    <col min="7697" max="7697" width="17.5703125" style="36" customWidth="1"/>
    <col min="7698" max="7698" width="11.85546875" style="36" customWidth="1"/>
    <col min="7699" max="7706" width="6.7109375" style="36" customWidth="1"/>
    <col min="7707" max="7936" width="8.7109375" style="36"/>
    <col min="7937" max="7937" width="66" style="36" customWidth="1"/>
    <col min="7938" max="7938" width="15" style="36" customWidth="1"/>
    <col min="7939" max="7939" width="8.7109375" style="36"/>
    <col min="7940" max="7940" width="11.42578125" style="36" customWidth="1"/>
    <col min="7941" max="7941" width="9.42578125" style="36" customWidth="1"/>
    <col min="7942" max="7942" width="14.7109375" style="36" customWidth="1"/>
    <col min="7943" max="7943" width="8.7109375" style="36"/>
    <col min="7944" max="7944" width="25" style="36" customWidth="1"/>
    <col min="7945" max="7945" width="9.5703125" style="36" customWidth="1"/>
    <col min="7946" max="7946" width="11.28515625" style="36" customWidth="1"/>
    <col min="7947" max="7947" width="15.7109375" style="36" customWidth="1"/>
    <col min="7948" max="7948" width="11.28515625" style="36" bestFit="1" customWidth="1"/>
    <col min="7949" max="7949" width="12.28515625" style="36" customWidth="1"/>
    <col min="7950" max="7950" width="13.28515625" style="36" customWidth="1"/>
    <col min="7951" max="7951" width="40.7109375" style="36" customWidth="1"/>
    <col min="7952" max="7952" width="29.28515625" style="36" bestFit="1" customWidth="1"/>
    <col min="7953" max="7953" width="17.5703125" style="36" customWidth="1"/>
    <col min="7954" max="7954" width="11.85546875" style="36" customWidth="1"/>
    <col min="7955" max="7962" width="6.7109375" style="36" customWidth="1"/>
    <col min="7963" max="8192" width="8.7109375" style="36"/>
    <col min="8193" max="8193" width="66" style="36" customWidth="1"/>
    <col min="8194" max="8194" width="15" style="36" customWidth="1"/>
    <col min="8195" max="8195" width="8.7109375" style="36"/>
    <col min="8196" max="8196" width="11.42578125" style="36" customWidth="1"/>
    <col min="8197" max="8197" width="9.42578125" style="36" customWidth="1"/>
    <col min="8198" max="8198" width="14.7109375" style="36" customWidth="1"/>
    <col min="8199" max="8199" width="8.7109375" style="36"/>
    <col min="8200" max="8200" width="25" style="36" customWidth="1"/>
    <col min="8201" max="8201" width="9.5703125" style="36" customWidth="1"/>
    <col min="8202" max="8202" width="11.28515625" style="36" customWidth="1"/>
    <col min="8203" max="8203" width="15.7109375" style="36" customWidth="1"/>
    <col min="8204" max="8204" width="11.28515625" style="36" bestFit="1" customWidth="1"/>
    <col min="8205" max="8205" width="12.28515625" style="36" customWidth="1"/>
    <col min="8206" max="8206" width="13.28515625" style="36" customWidth="1"/>
    <col min="8207" max="8207" width="40.7109375" style="36" customWidth="1"/>
    <col min="8208" max="8208" width="29.28515625" style="36" bestFit="1" customWidth="1"/>
    <col min="8209" max="8209" width="17.5703125" style="36" customWidth="1"/>
    <col min="8210" max="8210" width="11.85546875" style="36" customWidth="1"/>
    <col min="8211" max="8218" width="6.7109375" style="36" customWidth="1"/>
    <col min="8219" max="8448" width="8.7109375" style="36"/>
    <col min="8449" max="8449" width="66" style="36" customWidth="1"/>
    <col min="8450" max="8450" width="15" style="36" customWidth="1"/>
    <col min="8451" max="8451" width="8.7109375" style="36"/>
    <col min="8452" max="8452" width="11.42578125" style="36" customWidth="1"/>
    <col min="8453" max="8453" width="9.42578125" style="36" customWidth="1"/>
    <col min="8454" max="8454" width="14.7109375" style="36" customWidth="1"/>
    <col min="8455" max="8455" width="8.7109375" style="36"/>
    <col min="8456" max="8456" width="25" style="36" customWidth="1"/>
    <col min="8457" max="8457" width="9.5703125" style="36" customWidth="1"/>
    <col min="8458" max="8458" width="11.28515625" style="36" customWidth="1"/>
    <col min="8459" max="8459" width="15.7109375" style="36" customWidth="1"/>
    <col min="8460" max="8460" width="11.28515625" style="36" bestFit="1" customWidth="1"/>
    <col min="8461" max="8461" width="12.28515625" style="36" customWidth="1"/>
    <col min="8462" max="8462" width="13.28515625" style="36" customWidth="1"/>
    <col min="8463" max="8463" width="40.7109375" style="36" customWidth="1"/>
    <col min="8464" max="8464" width="29.28515625" style="36" bestFit="1" customWidth="1"/>
    <col min="8465" max="8465" width="17.5703125" style="36" customWidth="1"/>
    <col min="8466" max="8466" width="11.85546875" style="36" customWidth="1"/>
    <col min="8467" max="8474" width="6.7109375" style="36" customWidth="1"/>
    <col min="8475" max="8704" width="8.7109375" style="36"/>
    <col min="8705" max="8705" width="66" style="36" customWidth="1"/>
    <col min="8706" max="8706" width="15" style="36" customWidth="1"/>
    <col min="8707" max="8707" width="8.7109375" style="36"/>
    <col min="8708" max="8708" width="11.42578125" style="36" customWidth="1"/>
    <col min="8709" max="8709" width="9.42578125" style="36" customWidth="1"/>
    <col min="8710" max="8710" width="14.7109375" style="36" customWidth="1"/>
    <col min="8711" max="8711" width="8.7109375" style="36"/>
    <col min="8712" max="8712" width="25" style="36" customWidth="1"/>
    <col min="8713" max="8713" width="9.5703125" style="36" customWidth="1"/>
    <col min="8714" max="8714" width="11.28515625" style="36" customWidth="1"/>
    <col min="8715" max="8715" width="15.7109375" style="36" customWidth="1"/>
    <col min="8716" max="8716" width="11.28515625" style="36" bestFit="1" customWidth="1"/>
    <col min="8717" max="8717" width="12.28515625" style="36" customWidth="1"/>
    <col min="8718" max="8718" width="13.28515625" style="36" customWidth="1"/>
    <col min="8719" max="8719" width="40.7109375" style="36" customWidth="1"/>
    <col min="8720" max="8720" width="29.28515625" style="36" bestFit="1" customWidth="1"/>
    <col min="8721" max="8721" width="17.5703125" style="36" customWidth="1"/>
    <col min="8722" max="8722" width="11.85546875" style="36" customWidth="1"/>
    <col min="8723" max="8730" width="6.7109375" style="36" customWidth="1"/>
    <col min="8731" max="8960" width="8.7109375" style="36"/>
    <col min="8961" max="8961" width="66" style="36" customWidth="1"/>
    <col min="8962" max="8962" width="15" style="36" customWidth="1"/>
    <col min="8963" max="8963" width="8.7109375" style="36"/>
    <col min="8964" max="8964" width="11.42578125" style="36" customWidth="1"/>
    <col min="8965" max="8965" width="9.42578125" style="36" customWidth="1"/>
    <col min="8966" max="8966" width="14.7109375" style="36" customWidth="1"/>
    <col min="8967" max="8967" width="8.7109375" style="36"/>
    <col min="8968" max="8968" width="25" style="36" customWidth="1"/>
    <col min="8969" max="8969" width="9.5703125" style="36" customWidth="1"/>
    <col min="8970" max="8970" width="11.28515625" style="36" customWidth="1"/>
    <col min="8971" max="8971" width="15.7109375" style="36" customWidth="1"/>
    <col min="8972" max="8972" width="11.28515625" style="36" bestFit="1" customWidth="1"/>
    <col min="8973" max="8973" width="12.28515625" style="36" customWidth="1"/>
    <col min="8974" max="8974" width="13.28515625" style="36" customWidth="1"/>
    <col min="8975" max="8975" width="40.7109375" style="36" customWidth="1"/>
    <col min="8976" max="8976" width="29.28515625" style="36" bestFit="1" customWidth="1"/>
    <col min="8977" max="8977" width="17.5703125" style="36" customWidth="1"/>
    <col min="8978" max="8978" width="11.85546875" style="36" customWidth="1"/>
    <col min="8979" max="8986" width="6.7109375" style="36" customWidth="1"/>
    <col min="8987" max="9216" width="8.7109375" style="36"/>
    <col min="9217" max="9217" width="66" style="36" customWidth="1"/>
    <col min="9218" max="9218" width="15" style="36" customWidth="1"/>
    <col min="9219" max="9219" width="8.7109375" style="36"/>
    <col min="9220" max="9220" width="11.42578125" style="36" customWidth="1"/>
    <col min="9221" max="9221" width="9.42578125" style="36" customWidth="1"/>
    <col min="9222" max="9222" width="14.7109375" style="36" customWidth="1"/>
    <col min="9223" max="9223" width="8.7109375" style="36"/>
    <col min="9224" max="9224" width="25" style="36" customWidth="1"/>
    <col min="9225" max="9225" width="9.5703125" style="36" customWidth="1"/>
    <col min="9226" max="9226" width="11.28515625" style="36" customWidth="1"/>
    <col min="9227" max="9227" width="15.7109375" style="36" customWidth="1"/>
    <col min="9228" max="9228" width="11.28515625" style="36" bestFit="1" customWidth="1"/>
    <col min="9229" max="9229" width="12.28515625" style="36" customWidth="1"/>
    <col min="9230" max="9230" width="13.28515625" style="36" customWidth="1"/>
    <col min="9231" max="9231" width="40.7109375" style="36" customWidth="1"/>
    <col min="9232" max="9232" width="29.28515625" style="36" bestFit="1" customWidth="1"/>
    <col min="9233" max="9233" width="17.5703125" style="36" customWidth="1"/>
    <col min="9234" max="9234" width="11.85546875" style="36" customWidth="1"/>
    <col min="9235" max="9242" width="6.7109375" style="36" customWidth="1"/>
    <col min="9243" max="9472" width="8.7109375" style="36"/>
    <col min="9473" max="9473" width="66" style="36" customWidth="1"/>
    <col min="9474" max="9474" width="15" style="36" customWidth="1"/>
    <col min="9475" max="9475" width="8.7109375" style="36"/>
    <col min="9476" max="9476" width="11.42578125" style="36" customWidth="1"/>
    <col min="9477" max="9477" width="9.42578125" style="36" customWidth="1"/>
    <col min="9478" max="9478" width="14.7109375" style="36" customWidth="1"/>
    <col min="9479" max="9479" width="8.7109375" style="36"/>
    <col min="9480" max="9480" width="25" style="36" customWidth="1"/>
    <col min="9481" max="9481" width="9.5703125" style="36" customWidth="1"/>
    <col min="9482" max="9482" width="11.28515625" style="36" customWidth="1"/>
    <col min="9483" max="9483" width="15.7109375" style="36" customWidth="1"/>
    <col min="9484" max="9484" width="11.28515625" style="36" bestFit="1" customWidth="1"/>
    <col min="9485" max="9485" width="12.28515625" style="36" customWidth="1"/>
    <col min="9486" max="9486" width="13.28515625" style="36" customWidth="1"/>
    <col min="9487" max="9487" width="40.7109375" style="36" customWidth="1"/>
    <col min="9488" max="9488" width="29.28515625" style="36" bestFit="1" customWidth="1"/>
    <col min="9489" max="9489" width="17.5703125" style="36" customWidth="1"/>
    <col min="9490" max="9490" width="11.85546875" style="36" customWidth="1"/>
    <col min="9491" max="9498" width="6.7109375" style="36" customWidth="1"/>
    <col min="9499" max="9728" width="8.7109375" style="36"/>
    <col min="9729" max="9729" width="66" style="36" customWidth="1"/>
    <col min="9730" max="9730" width="15" style="36" customWidth="1"/>
    <col min="9731" max="9731" width="8.7109375" style="36"/>
    <col min="9732" max="9732" width="11.42578125" style="36" customWidth="1"/>
    <col min="9733" max="9733" width="9.42578125" style="36" customWidth="1"/>
    <col min="9734" max="9734" width="14.7109375" style="36" customWidth="1"/>
    <col min="9735" max="9735" width="8.7109375" style="36"/>
    <col min="9736" max="9736" width="25" style="36" customWidth="1"/>
    <col min="9737" max="9737" width="9.5703125" style="36" customWidth="1"/>
    <col min="9738" max="9738" width="11.28515625" style="36" customWidth="1"/>
    <col min="9739" max="9739" width="15.7109375" style="36" customWidth="1"/>
    <col min="9740" max="9740" width="11.28515625" style="36" bestFit="1" customWidth="1"/>
    <col min="9741" max="9741" width="12.28515625" style="36" customWidth="1"/>
    <col min="9742" max="9742" width="13.28515625" style="36" customWidth="1"/>
    <col min="9743" max="9743" width="40.7109375" style="36" customWidth="1"/>
    <col min="9744" max="9744" width="29.28515625" style="36" bestFit="1" customWidth="1"/>
    <col min="9745" max="9745" width="17.5703125" style="36" customWidth="1"/>
    <col min="9746" max="9746" width="11.85546875" style="36" customWidth="1"/>
    <col min="9747" max="9754" width="6.7109375" style="36" customWidth="1"/>
    <col min="9755" max="9984" width="8.7109375" style="36"/>
    <col min="9985" max="9985" width="66" style="36" customWidth="1"/>
    <col min="9986" max="9986" width="15" style="36" customWidth="1"/>
    <col min="9987" max="9987" width="8.7109375" style="36"/>
    <col min="9988" max="9988" width="11.42578125" style="36" customWidth="1"/>
    <col min="9989" max="9989" width="9.42578125" style="36" customWidth="1"/>
    <col min="9990" max="9990" width="14.7109375" style="36" customWidth="1"/>
    <col min="9991" max="9991" width="8.7109375" style="36"/>
    <col min="9992" max="9992" width="25" style="36" customWidth="1"/>
    <col min="9993" max="9993" width="9.5703125" style="36" customWidth="1"/>
    <col min="9994" max="9994" width="11.28515625" style="36" customWidth="1"/>
    <col min="9995" max="9995" width="15.7109375" style="36" customWidth="1"/>
    <col min="9996" max="9996" width="11.28515625" style="36" bestFit="1" customWidth="1"/>
    <col min="9997" max="9997" width="12.28515625" style="36" customWidth="1"/>
    <col min="9998" max="9998" width="13.28515625" style="36" customWidth="1"/>
    <col min="9999" max="9999" width="40.7109375" style="36" customWidth="1"/>
    <col min="10000" max="10000" width="29.28515625" style="36" bestFit="1" customWidth="1"/>
    <col min="10001" max="10001" width="17.5703125" style="36" customWidth="1"/>
    <col min="10002" max="10002" width="11.85546875" style="36" customWidth="1"/>
    <col min="10003" max="10010" width="6.7109375" style="36" customWidth="1"/>
    <col min="10011" max="10240" width="8.7109375" style="36"/>
    <col min="10241" max="10241" width="66" style="36" customWidth="1"/>
    <col min="10242" max="10242" width="15" style="36" customWidth="1"/>
    <col min="10243" max="10243" width="8.7109375" style="36"/>
    <col min="10244" max="10244" width="11.42578125" style="36" customWidth="1"/>
    <col min="10245" max="10245" width="9.42578125" style="36" customWidth="1"/>
    <col min="10246" max="10246" width="14.7109375" style="36" customWidth="1"/>
    <col min="10247" max="10247" width="8.7109375" style="36"/>
    <col min="10248" max="10248" width="25" style="36" customWidth="1"/>
    <col min="10249" max="10249" width="9.5703125" style="36" customWidth="1"/>
    <col min="10250" max="10250" width="11.28515625" style="36" customWidth="1"/>
    <col min="10251" max="10251" width="15.7109375" style="36" customWidth="1"/>
    <col min="10252" max="10252" width="11.28515625" style="36" bestFit="1" customWidth="1"/>
    <col min="10253" max="10253" width="12.28515625" style="36" customWidth="1"/>
    <col min="10254" max="10254" width="13.28515625" style="36" customWidth="1"/>
    <col min="10255" max="10255" width="40.7109375" style="36" customWidth="1"/>
    <col min="10256" max="10256" width="29.28515625" style="36" bestFit="1" customWidth="1"/>
    <col min="10257" max="10257" width="17.5703125" style="36" customWidth="1"/>
    <col min="10258" max="10258" width="11.85546875" style="36" customWidth="1"/>
    <col min="10259" max="10266" width="6.7109375" style="36" customWidth="1"/>
    <col min="10267" max="10496" width="8.7109375" style="36"/>
    <col min="10497" max="10497" width="66" style="36" customWidth="1"/>
    <col min="10498" max="10498" width="15" style="36" customWidth="1"/>
    <col min="10499" max="10499" width="8.7109375" style="36"/>
    <col min="10500" max="10500" width="11.42578125" style="36" customWidth="1"/>
    <col min="10501" max="10501" width="9.42578125" style="36" customWidth="1"/>
    <col min="10502" max="10502" width="14.7109375" style="36" customWidth="1"/>
    <col min="10503" max="10503" width="8.7109375" style="36"/>
    <col min="10504" max="10504" width="25" style="36" customWidth="1"/>
    <col min="10505" max="10505" width="9.5703125" style="36" customWidth="1"/>
    <col min="10506" max="10506" width="11.28515625" style="36" customWidth="1"/>
    <col min="10507" max="10507" width="15.7109375" style="36" customWidth="1"/>
    <col min="10508" max="10508" width="11.28515625" style="36" bestFit="1" customWidth="1"/>
    <col min="10509" max="10509" width="12.28515625" style="36" customWidth="1"/>
    <col min="10510" max="10510" width="13.28515625" style="36" customWidth="1"/>
    <col min="10511" max="10511" width="40.7109375" style="36" customWidth="1"/>
    <col min="10512" max="10512" width="29.28515625" style="36" bestFit="1" customWidth="1"/>
    <col min="10513" max="10513" width="17.5703125" style="36" customWidth="1"/>
    <col min="10514" max="10514" width="11.85546875" style="36" customWidth="1"/>
    <col min="10515" max="10522" width="6.7109375" style="36" customWidth="1"/>
    <col min="10523" max="10752" width="8.7109375" style="36"/>
    <col min="10753" max="10753" width="66" style="36" customWidth="1"/>
    <col min="10754" max="10754" width="15" style="36" customWidth="1"/>
    <col min="10755" max="10755" width="8.7109375" style="36"/>
    <col min="10756" max="10756" width="11.42578125" style="36" customWidth="1"/>
    <col min="10757" max="10757" width="9.42578125" style="36" customWidth="1"/>
    <col min="10758" max="10758" width="14.7109375" style="36" customWidth="1"/>
    <col min="10759" max="10759" width="8.7109375" style="36"/>
    <col min="10760" max="10760" width="25" style="36" customWidth="1"/>
    <col min="10761" max="10761" width="9.5703125" style="36" customWidth="1"/>
    <col min="10762" max="10762" width="11.28515625" style="36" customWidth="1"/>
    <col min="10763" max="10763" width="15.7109375" style="36" customWidth="1"/>
    <col min="10764" max="10764" width="11.28515625" style="36" bestFit="1" customWidth="1"/>
    <col min="10765" max="10765" width="12.28515625" style="36" customWidth="1"/>
    <col min="10766" max="10766" width="13.28515625" style="36" customWidth="1"/>
    <col min="10767" max="10767" width="40.7109375" style="36" customWidth="1"/>
    <col min="10768" max="10768" width="29.28515625" style="36" bestFit="1" customWidth="1"/>
    <col min="10769" max="10769" width="17.5703125" style="36" customWidth="1"/>
    <col min="10770" max="10770" width="11.85546875" style="36" customWidth="1"/>
    <col min="10771" max="10778" width="6.7109375" style="36" customWidth="1"/>
    <col min="10779" max="11008" width="8.7109375" style="36"/>
    <col min="11009" max="11009" width="66" style="36" customWidth="1"/>
    <col min="11010" max="11010" width="15" style="36" customWidth="1"/>
    <col min="11011" max="11011" width="8.7109375" style="36"/>
    <col min="11012" max="11012" width="11.42578125" style="36" customWidth="1"/>
    <col min="11013" max="11013" width="9.42578125" style="36" customWidth="1"/>
    <col min="11014" max="11014" width="14.7109375" style="36" customWidth="1"/>
    <col min="11015" max="11015" width="8.7109375" style="36"/>
    <col min="11016" max="11016" width="25" style="36" customWidth="1"/>
    <col min="11017" max="11017" width="9.5703125" style="36" customWidth="1"/>
    <col min="11018" max="11018" width="11.28515625" style="36" customWidth="1"/>
    <col min="11019" max="11019" width="15.7109375" style="36" customWidth="1"/>
    <col min="11020" max="11020" width="11.28515625" style="36" bestFit="1" customWidth="1"/>
    <col min="11021" max="11021" width="12.28515625" style="36" customWidth="1"/>
    <col min="11022" max="11022" width="13.28515625" style="36" customWidth="1"/>
    <col min="11023" max="11023" width="40.7109375" style="36" customWidth="1"/>
    <col min="11024" max="11024" width="29.28515625" style="36" bestFit="1" customWidth="1"/>
    <col min="11025" max="11025" width="17.5703125" style="36" customWidth="1"/>
    <col min="11026" max="11026" width="11.85546875" style="36" customWidth="1"/>
    <col min="11027" max="11034" width="6.7109375" style="36" customWidth="1"/>
    <col min="11035" max="11264" width="8.7109375" style="36"/>
    <col min="11265" max="11265" width="66" style="36" customWidth="1"/>
    <col min="11266" max="11266" width="15" style="36" customWidth="1"/>
    <col min="11267" max="11267" width="8.7109375" style="36"/>
    <col min="11268" max="11268" width="11.42578125" style="36" customWidth="1"/>
    <col min="11269" max="11269" width="9.42578125" style="36" customWidth="1"/>
    <col min="11270" max="11270" width="14.7109375" style="36" customWidth="1"/>
    <col min="11271" max="11271" width="8.7109375" style="36"/>
    <col min="11272" max="11272" width="25" style="36" customWidth="1"/>
    <col min="11273" max="11273" width="9.5703125" style="36" customWidth="1"/>
    <col min="11274" max="11274" width="11.28515625" style="36" customWidth="1"/>
    <col min="11275" max="11275" width="15.7109375" style="36" customWidth="1"/>
    <col min="11276" max="11276" width="11.28515625" style="36" bestFit="1" customWidth="1"/>
    <col min="11277" max="11277" width="12.28515625" style="36" customWidth="1"/>
    <col min="11278" max="11278" width="13.28515625" style="36" customWidth="1"/>
    <col min="11279" max="11279" width="40.7109375" style="36" customWidth="1"/>
    <col min="11280" max="11280" width="29.28515625" style="36" bestFit="1" customWidth="1"/>
    <col min="11281" max="11281" width="17.5703125" style="36" customWidth="1"/>
    <col min="11282" max="11282" width="11.85546875" style="36" customWidth="1"/>
    <col min="11283" max="11290" width="6.7109375" style="36" customWidth="1"/>
    <col min="11291" max="11520" width="8.7109375" style="36"/>
    <col min="11521" max="11521" width="66" style="36" customWidth="1"/>
    <col min="11522" max="11522" width="15" style="36" customWidth="1"/>
    <col min="11523" max="11523" width="8.7109375" style="36"/>
    <col min="11524" max="11524" width="11.42578125" style="36" customWidth="1"/>
    <col min="11525" max="11525" width="9.42578125" style="36" customWidth="1"/>
    <col min="11526" max="11526" width="14.7109375" style="36" customWidth="1"/>
    <col min="11527" max="11527" width="8.7109375" style="36"/>
    <col min="11528" max="11528" width="25" style="36" customWidth="1"/>
    <col min="11529" max="11529" width="9.5703125" style="36" customWidth="1"/>
    <col min="11530" max="11530" width="11.28515625" style="36" customWidth="1"/>
    <col min="11531" max="11531" width="15.7109375" style="36" customWidth="1"/>
    <col min="11532" max="11532" width="11.28515625" style="36" bestFit="1" customWidth="1"/>
    <col min="11533" max="11533" width="12.28515625" style="36" customWidth="1"/>
    <col min="11534" max="11534" width="13.28515625" style="36" customWidth="1"/>
    <col min="11535" max="11535" width="40.7109375" style="36" customWidth="1"/>
    <col min="11536" max="11536" width="29.28515625" style="36" bestFit="1" customWidth="1"/>
    <col min="11537" max="11537" width="17.5703125" style="36" customWidth="1"/>
    <col min="11538" max="11538" width="11.85546875" style="36" customWidth="1"/>
    <col min="11539" max="11546" width="6.7109375" style="36" customWidth="1"/>
    <col min="11547" max="11776" width="8.7109375" style="36"/>
    <col min="11777" max="11777" width="66" style="36" customWidth="1"/>
    <col min="11778" max="11778" width="15" style="36" customWidth="1"/>
    <col min="11779" max="11779" width="8.7109375" style="36"/>
    <col min="11780" max="11780" width="11.42578125" style="36" customWidth="1"/>
    <col min="11781" max="11781" width="9.42578125" style="36" customWidth="1"/>
    <col min="11782" max="11782" width="14.7109375" style="36" customWidth="1"/>
    <col min="11783" max="11783" width="8.7109375" style="36"/>
    <col min="11784" max="11784" width="25" style="36" customWidth="1"/>
    <col min="11785" max="11785" width="9.5703125" style="36" customWidth="1"/>
    <col min="11786" max="11786" width="11.28515625" style="36" customWidth="1"/>
    <col min="11787" max="11787" width="15.7109375" style="36" customWidth="1"/>
    <col min="11788" max="11788" width="11.28515625" style="36" bestFit="1" customWidth="1"/>
    <col min="11789" max="11789" width="12.28515625" style="36" customWidth="1"/>
    <col min="11790" max="11790" width="13.28515625" style="36" customWidth="1"/>
    <col min="11791" max="11791" width="40.7109375" style="36" customWidth="1"/>
    <col min="11792" max="11792" width="29.28515625" style="36" bestFit="1" customWidth="1"/>
    <col min="11793" max="11793" width="17.5703125" style="36" customWidth="1"/>
    <col min="11794" max="11794" width="11.85546875" style="36" customWidth="1"/>
    <col min="11795" max="11802" width="6.7109375" style="36" customWidth="1"/>
    <col min="11803" max="12032" width="8.7109375" style="36"/>
    <col min="12033" max="12033" width="66" style="36" customWidth="1"/>
    <col min="12034" max="12034" width="15" style="36" customWidth="1"/>
    <col min="12035" max="12035" width="8.7109375" style="36"/>
    <col min="12036" max="12036" width="11.42578125" style="36" customWidth="1"/>
    <col min="12037" max="12037" width="9.42578125" style="36" customWidth="1"/>
    <col min="12038" max="12038" width="14.7109375" style="36" customWidth="1"/>
    <col min="12039" max="12039" width="8.7109375" style="36"/>
    <col min="12040" max="12040" width="25" style="36" customWidth="1"/>
    <col min="12041" max="12041" width="9.5703125" style="36" customWidth="1"/>
    <col min="12042" max="12042" width="11.28515625" style="36" customWidth="1"/>
    <col min="12043" max="12043" width="15.7109375" style="36" customWidth="1"/>
    <col min="12044" max="12044" width="11.28515625" style="36" bestFit="1" customWidth="1"/>
    <col min="12045" max="12045" width="12.28515625" style="36" customWidth="1"/>
    <col min="12046" max="12046" width="13.28515625" style="36" customWidth="1"/>
    <col min="12047" max="12047" width="40.7109375" style="36" customWidth="1"/>
    <col min="12048" max="12048" width="29.28515625" style="36" bestFit="1" customWidth="1"/>
    <col min="12049" max="12049" width="17.5703125" style="36" customWidth="1"/>
    <col min="12050" max="12050" width="11.85546875" style="36" customWidth="1"/>
    <col min="12051" max="12058" width="6.7109375" style="36" customWidth="1"/>
    <col min="12059" max="12288" width="8.7109375" style="36"/>
    <col min="12289" max="12289" width="66" style="36" customWidth="1"/>
    <col min="12290" max="12290" width="15" style="36" customWidth="1"/>
    <col min="12291" max="12291" width="8.7109375" style="36"/>
    <col min="12292" max="12292" width="11.42578125" style="36" customWidth="1"/>
    <col min="12293" max="12293" width="9.42578125" style="36" customWidth="1"/>
    <col min="12294" max="12294" width="14.7109375" style="36" customWidth="1"/>
    <col min="12295" max="12295" width="8.7109375" style="36"/>
    <col min="12296" max="12296" width="25" style="36" customWidth="1"/>
    <col min="12297" max="12297" width="9.5703125" style="36" customWidth="1"/>
    <col min="12298" max="12298" width="11.28515625" style="36" customWidth="1"/>
    <col min="12299" max="12299" width="15.7109375" style="36" customWidth="1"/>
    <col min="12300" max="12300" width="11.28515625" style="36" bestFit="1" customWidth="1"/>
    <col min="12301" max="12301" width="12.28515625" style="36" customWidth="1"/>
    <col min="12302" max="12302" width="13.28515625" style="36" customWidth="1"/>
    <col min="12303" max="12303" width="40.7109375" style="36" customWidth="1"/>
    <col min="12304" max="12304" width="29.28515625" style="36" bestFit="1" customWidth="1"/>
    <col min="12305" max="12305" width="17.5703125" style="36" customWidth="1"/>
    <col min="12306" max="12306" width="11.85546875" style="36" customWidth="1"/>
    <col min="12307" max="12314" width="6.7109375" style="36" customWidth="1"/>
    <col min="12315" max="12544" width="8.7109375" style="36"/>
    <col min="12545" max="12545" width="66" style="36" customWidth="1"/>
    <col min="12546" max="12546" width="15" style="36" customWidth="1"/>
    <col min="12547" max="12547" width="8.7109375" style="36"/>
    <col min="12548" max="12548" width="11.42578125" style="36" customWidth="1"/>
    <col min="12549" max="12549" width="9.42578125" style="36" customWidth="1"/>
    <col min="12550" max="12550" width="14.7109375" style="36" customWidth="1"/>
    <col min="12551" max="12551" width="8.7109375" style="36"/>
    <col min="12552" max="12552" width="25" style="36" customWidth="1"/>
    <col min="12553" max="12553" width="9.5703125" style="36" customWidth="1"/>
    <col min="12554" max="12554" width="11.28515625" style="36" customWidth="1"/>
    <col min="12555" max="12555" width="15.7109375" style="36" customWidth="1"/>
    <col min="12556" max="12556" width="11.28515625" style="36" bestFit="1" customWidth="1"/>
    <col min="12557" max="12557" width="12.28515625" style="36" customWidth="1"/>
    <col min="12558" max="12558" width="13.28515625" style="36" customWidth="1"/>
    <col min="12559" max="12559" width="40.7109375" style="36" customWidth="1"/>
    <col min="12560" max="12560" width="29.28515625" style="36" bestFit="1" customWidth="1"/>
    <col min="12561" max="12561" width="17.5703125" style="36" customWidth="1"/>
    <col min="12562" max="12562" width="11.85546875" style="36" customWidth="1"/>
    <col min="12563" max="12570" width="6.7109375" style="36" customWidth="1"/>
    <col min="12571" max="12800" width="8.7109375" style="36"/>
    <col min="12801" max="12801" width="66" style="36" customWidth="1"/>
    <col min="12802" max="12802" width="15" style="36" customWidth="1"/>
    <col min="12803" max="12803" width="8.7109375" style="36"/>
    <col min="12804" max="12804" width="11.42578125" style="36" customWidth="1"/>
    <col min="12805" max="12805" width="9.42578125" style="36" customWidth="1"/>
    <col min="12806" max="12806" width="14.7109375" style="36" customWidth="1"/>
    <col min="12807" max="12807" width="8.7109375" style="36"/>
    <col min="12808" max="12808" width="25" style="36" customWidth="1"/>
    <col min="12809" max="12809" width="9.5703125" style="36" customWidth="1"/>
    <col min="12810" max="12810" width="11.28515625" style="36" customWidth="1"/>
    <col min="12811" max="12811" width="15.7109375" style="36" customWidth="1"/>
    <col min="12812" max="12812" width="11.28515625" style="36" bestFit="1" customWidth="1"/>
    <col min="12813" max="12813" width="12.28515625" style="36" customWidth="1"/>
    <col min="12814" max="12814" width="13.28515625" style="36" customWidth="1"/>
    <col min="12815" max="12815" width="40.7109375" style="36" customWidth="1"/>
    <col min="12816" max="12816" width="29.28515625" style="36" bestFit="1" customWidth="1"/>
    <col min="12817" max="12817" width="17.5703125" style="36" customWidth="1"/>
    <col min="12818" max="12818" width="11.85546875" style="36" customWidth="1"/>
    <col min="12819" max="12826" width="6.7109375" style="36" customWidth="1"/>
    <col min="12827" max="13056" width="8.7109375" style="36"/>
    <col min="13057" max="13057" width="66" style="36" customWidth="1"/>
    <col min="13058" max="13058" width="15" style="36" customWidth="1"/>
    <col min="13059" max="13059" width="8.7109375" style="36"/>
    <col min="13060" max="13060" width="11.42578125" style="36" customWidth="1"/>
    <col min="13061" max="13061" width="9.42578125" style="36" customWidth="1"/>
    <col min="13062" max="13062" width="14.7109375" style="36" customWidth="1"/>
    <col min="13063" max="13063" width="8.7109375" style="36"/>
    <col min="13064" max="13064" width="25" style="36" customWidth="1"/>
    <col min="13065" max="13065" width="9.5703125" style="36" customWidth="1"/>
    <col min="13066" max="13066" width="11.28515625" style="36" customWidth="1"/>
    <col min="13067" max="13067" width="15.7109375" style="36" customWidth="1"/>
    <col min="13068" max="13068" width="11.28515625" style="36" bestFit="1" customWidth="1"/>
    <col min="13069" max="13069" width="12.28515625" style="36" customWidth="1"/>
    <col min="13070" max="13070" width="13.28515625" style="36" customWidth="1"/>
    <col min="13071" max="13071" width="40.7109375" style="36" customWidth="1"/>
    <col min="13072" max="13072" width="29.28515625" style="36" bestFit="1" customWidth="1"/>
    <col min="13073" max="13073" width="17.5703125" style="36" customWidth="1"/>
    <col min="13074" max="13074" width="11.85546875" style="36" customWidth="1"/>
    <col min="13075" max="13082" width="6.7109375" style="36" customWidth="1"/>
    <col min="13083" max="13312" width="8.7109375" style="36"/>
    <col min="13313" max="13313" width="66" style="36" customWidth="1"/>
    <col min="13314" max="13314" width="15" style="36" customWidth="1"/>
    <col min="13315" max="13315" width="8.7109375" style="36"/>
    <col min="13316" max="13316" width="11.42578125" style="36" customWidth="1"/>
    <col min="13317" max="13317" width="9.42578125" style="36" customWidth="1"/>
    <col min="13318" max="13318" width="14.7109375" style="36" customWidth="1"/>
    <col min="13319" max="13319" width="8.7109375" style="36"/>
    <col min="13320" max="13320" width="25" style="36" customWidth="1"/>
    <col min="13321" max="13321" width="9.5703125" style="36" customWidth="1"/>
    <col min="13322" max="13322" width="11.28515625" style="36" customWidth="1"/>
    <col min="13323" max="13323" width="15.7109375" style="36" customWidth="1"/>
    <col min="13324" max="13324" width="11.28515625" style="36" bestFit="1" customWidth="1"/>
    <col min="13325" max="13325" width="12.28515625" style="36" customWidth="1"/>
    <col min="13326" max="13326" width="13.28515625" style="36" customWidth="1"/>
    <col min="13327" max="13327" width="40.7109375" style="36" customWidth="1"/>
    <col min="13328" max="13328" width="29.28515625" style="36" bestFit="1" customWidth="1"/>
    <col min="13329" max="13329" width="17.5703125" style="36" customWidth="1"/>
    <col min="13330" max="13330" width="11.85546875" style="36" customWidth="1"/>
    <col min="13331" max="13338" width="6.7109375" style="36" customWidth="1"/>
    <col min="13339" max="13568" width="8.7109375" style="36"/>
    <col min="13569" max="13569" width="66" style="36" customWidth="1"/>
    <col min="13570" max="13570" width="15" style="36" customWidth="1"/>
    <col min="13571" max="13571" width="8.7109375" style="36"/>
    <col min="13572" max="13572" width="11.42578125" style="36" customWidth="1"/>
    <col min="13573" max="13573" width="9.42578125" style="36" customWidth="1"/>
    <col min="13574" max="13574" width="14.7109375" style="36" customWidth="1"/>
    <col min="13575" max="13575" width="8.7109375" style="36"/>
    <col min="13576" max="13576" width="25" style="36" customWidth="1"/>
    <col min="13577" max="13577" width="9.5703125" style="36" customWidth="1"/>
    <col min="13578" max="13578" width="11.28515625" style="36" customWidth="1"/>
    <col min="13579" max="13579" width="15.7109375" style="36" customWidth="1"/>
    <col min="13580" max="13580" width="11.28515625" style="36" bestFit="1" customWidth="1"/>
    <col min="13581" max="13581" width="12.28515625" style="36" customWidth="1"/>
    <col min="13582" max="13582" width="13.28515625" style="36" customWidth="1"/>
    <col min="13583" max="13583" width="40.7109375" style="36" customWidth="1"/>
    <col min="13584" max="13584" width="29.28515625" style="36" bestFit="1" customWidth="1"/>
    <col min="13585" max="13585" width="17.5703125" style="36" customWidth="1"/>
    <col min="13586" max="13586" width="11.85546875" style="36" customWidth="1"/>
    <col min="13587" max="13594" width="6.7109375" style="36" customWidth="1"/>
    <col min="13595" max="13824" width="8.7109375" style="36"/>
    <col min="13825" max="13825" width="66" style="36" customWidth="1"/>
    <col min="13826" max="13826" width="15" style="36" customWidth="1"/>
    <col min="13827" max="13827" width="8.7109375" style="36"/>
    <col min="13828" max="13828" width="11.42578125" style="36" customWidth="1"/>
    <col min="13829" max="13829" width="9.42578125" style="36" customWidth="1"/>
    <col min="13830" max="13830" width="14.7109375" style="36" customWidth="1"/>
    <col min="13831" max="13831" width="8.7109375" style="36"/>
    <col min="13832" max="13832" width="25" style="36" customWidth="1"/>
    <col min="13833" max="13833" width="9.5703125" style="36" customWidth="1"/>
    <col min="13834" max="13834" width="11.28515625" style="36" customWidth="1"/>
    <col min="13835" max="13835" width="15.7109375" style="36" customWidth="1"/>
    <col min="13836" max="13836" width="11.28515625" style="36" bestFit="1" customWidth="1"/>
    <col min="13837" max="13837" width="12.28515625" style="36" customWidth="1"/>
    <col min="13838" max="13838" width="13.28515625" style="36" customWidth="1"/>
    <col min="13839" max="13839" width="40.7109375" style="36" customWidth="1"/>
    <col min="13840" max="13840" width="29.28515625" style="36" bestFit="1" customWidth="1"/>
    <col min="13841" max="13841" width="17.5703125" style="36" customWidth="1"/>
    <col min="13842" max="13842" width="11.85546875" style="36" customWidth="1"/>
    <col min="13843" max="13850" width="6.7109375" style="36" customWidth="1"/>
    <col min="13851" max="14080" width="8.7109375" style="36"/>
    <col min="14081" max="14081" width="66" style="36" customWidth="1"/>
    <col min="14082" max="14082" width="15" style="36" customWidth="1"/>
    <col min="14083" max="14083" width="8.7109375" style="36"/>
    <col min="14084" max="14084" width="11.42578125" style="36" customWidth="1"/>
    <col min="14085" max="14085" width="9.42578125" style="36" customWidth="1"/>
    <col min="14086" max="14086" width="14.7109375" style="36" customWidth="1"/>
    <col min="14087" max="14087" width="8.7109375" style="36"/>
    <col min="14088" max="14088" width="25" style="36" customWidth="1"/>
    <col min="14089" max="14089" width="9.5703125" style="36" customWidth="1"/>
    <col min="14090" max="14090" width="11.28515625" style="36" customWidth="1"/>
    <col min="14091" max="14091" width="15.7109375" style="36" customWidth="1"/>
    <col min="14092" max="14092" width="11.28515625" style="36" bestFit="1" customWidth="1"/>
    <col min="14093" max="14093" width="12.28515625" style="36" customWidth="1"/>
    <col min="14094" max="14094" width="13.28515625" style="36" customWidth="1"/>
    <col min="14095" max="14095" width="40.7109375" style="36" customWidth="1"/>
    <col min="14096" max="14096" width="29.28515625" style="36" bestFit="1" customWidth="1"/>
    <col min="14097" max="14097" width="17.5703125" style="36" customWidth="1"/>
    <col min="14098" max="14098" width="11.85546875" style="36" customWidth="1"/>
    <col min="14099" max="14106" width="6.7109375" style="36" customWidth="1"/>
    <col min="14107" max="14336" width="8.7109375" style="36"/>
    <col min="14337" max="14337" width="66" style="36" customWidth="1"/>
    <col min="14338" max="14338" width="15" style="36" customWidth="1"/>
    <col min="14339" max="14339" width="8.7109375" style="36"/>
    <col min="14340" max="14340" width="11.42578125" style="36" customWidth="1"/>
    <col min="14341" max="14341" width="9.42578125" style="36" customWidth="1"/>
    <col min="14342" max="14342" width="14.7109375" style="36" customWidth="1"/>
    <col min="14343" max="14343" width="8.7109375" style="36"/>
    <col min="14344" max="14344" width="25" style="36" customWidth="1"/>
    <col min="14345" max="14345" width="9.5703125" style="36" customWidth="1"/>
    <col min="14346" max="14346" width="11.28515625" style="36" customWidth="1"/>
    <col min="14347" max="14347" width="15.7109375" style="36" customWidth="1"/>
    <col min="14348" max="14348" width="11.28515625" style="36" bestFit="1" customWidth="1"/>
    <col min="14349" max="14349" width="12.28515625" style="36" customWidth="1"/>
    <col min="14350" max="14350" width="13.28515625" style="36" customWidth="1"/>
    <col min="14351" max="14351" width="40.7109375" style="36" customWidth="1"/>
    <col min="14352" max="14352" width="29.28515625" style="36" bestFit="1" customWidth="1"/>
    <col min="14353" max="14353" width="17.5703125" style="36" customWidth="1"/>
    <col min="14354" max="14354" width="11.85546875" style="36" customWidth="1"/>
    <col min="14355" max="14362" width="6.7109375" style="36" customWidth="1"/>
    <col min="14363" max="14592" width="8.7109375" style="36"/>
    <col min="14593" max="14593" width="66" style="36" customWidth="1"/>
    <col min="14594" max="14594" width="15" style="36" customWidth="1"/>
    <col min="14595" max="14595" width="8.7109375" style="36"/>
    <col min="14596" max="14596" width="11.42578125" style="36" customWidth="1"/>
    <col min="14597" max="14597" width="9.42578125" style="36" customWidth="1"/>
    <col min="14598" max="14598" width="14.7109375" style="36" customWidth="1"/>
    <col min="14599" max="14599" width="8.7109375" style="36"/>
    <col min="14600" max="14600" width="25" style="36" customWidth="1"/>
    <col min="14601" max="14601" width="9.5703125" style="36" customWidth="1"/>
    <col min="14602" max="14602" width="11.28515625" style="36" customWidth="1"/>
    <col min="14603" max="14603" width="15.7109375" style="36" customWidth="1"/>
    <col min="14604" max="14604" width="11.28515625" style="36" bestFit="1" customWidth="1"/>
    <col min="14605" max="14605" width="12.28515625" style="36" customWidth="1"/>
    <col min="14606" max="14606" width="13.28515625" style="36" customWidth="1"/>
    <col min="14607" max="14607" width="40.7109375" style="36" customWidth="1"/>
    <col min="14608" max="14608" width="29.28515625" style="36" bestFit="1" customWidth="1"/>
    <col min="14609" max="14609" width="17.5703125" style="36" customWidth="1"/>
    <col min="14610" max="14610" width="11.85546875" style="36" customWidth="1"/>
    <col min="14611" max="14618" width="6.7109375" style="36" customWidth="1"/>
    <col min="14619" max="14848" width="8.7109375" style="36"/>
    <col min="14849" max="14849" width="66" style="36" customWidth="1"/>
    <col min="14850" max="14850" width="15" style="36" customWidth="1"/>
    <col min="14851" max="14851" width="8.7109375" style="36"/>
    <col min="14852" max="14852" width="11.42578125" style="36" customWidth="1"/>
    <col min="14853" max="14853" width="9.42578125" style="36" customWidth="1"/>
    <col min="14854" max="14854" width="14.7109375" style="36" customWidth="1"/>
    <col min="14855" max="14855" width="8.7109375" style="36"/>
    <col min="14856" max="14856" width="25" style="36" customWidth="1"/>
    <col min="14857" max="14857" width="9.5703125" style="36" customWidth="1"/>
    <col min="14858" max="14858" width="11.28515625" style="36" customWidth="1"/>
    <col min="14859" max="14859" width="15.7109375" style="36" customWidth="1"/>
    <col min="14860" max="14860" width="11.28515625" style="36" bestFit="1" customWidth="1"/>
    <col min="14861" max="14861" width="12.28515625" style="36" customWidth="1"/>
    <col min="14862" max="14862" width="13.28515625" style="36" customWidth="1"/>
    <col min="14863" max="14863" width="40.7109375" style="36" customWidth="1"/>
    <col min="14864" max="14864" width="29.28515625" style="36" bestFit="1" customWidth="1"/>
    <col min="14865" max="14865" width="17.5703125" style="36" customWidth="1"/>
    <col min="14866" max="14866" width="11.85546875" style="36" customWidth="1"/>
    <col min="14867" max="14874" width="6.7109375" style="36" customWidth="1"/>
    <col min="14875" max="15104" width="8.7109375" style="36"/>
    <col min="15105" max="15105" width="66" style="36" customWidth="1"/>
    <col min="15106" max="15106" width="15" style="36" customWidth="1"/>
    <col min="15107" max="15107" width="8.7109375" style="36"/>
    <col min="15108" max="15108" width="11.42578125" style="36" customWidth="1"/>
    <col min="15109" max="15109" width="9.42578125" style="36" customWidth="1"/>
    <col min="15110" max="15110" width="14.7109375" style="36" customWidth="1"/>
    <col min="15111" max="15111" width="8.7109375" style="36"/>
    <col min="15112" max="15112" width="25" style="36" customWidth="1"/>
    <col min="15113" max="15113" width="9.5703125" style="36" customWidth="1"/>
    <col min="15114" max="15114" width="11.28515625" style="36" customWidth="1"/>
    <col min="15115" max="15115" width="15.7109375" style="36" customWidth="1"/>
    <col min="15116" max="15116" width="11.28515625" style="36" bestFit="1" customWidth="1"/>
    <col min="15117" max="15117" width="12.28515625" style="36" customWidth="1"/>
    <col min="15118" max="15118" width="13.28515625" style="36" customWidth="1"/>
    <col min="15119" max="15119" width="40.7109375" style="36" customWidth="1"/>
    <col min="15120" max="15120" width="29.28515625" style="36" bestFit="1" customWidth="1"/>
    <col min="15121" max="15121" width="17.5703125" style="36" customWidth="1"/>
    <col min="15122" max="15122" width="11.85546875" style="36" customWidth="1"/>
    <col min="15123" max="15130" width="6.7109375" style="36" customWidth="1"/>
    <col min="15131" max="15360" width="8.7109375" style="36"/>
    <col min="15361" max="15361" width="66" style="36" customWidth="1"/>
    <col min="15362" max="15362" width="15" style="36" customWidth="1"/>
    <col min="15363" max="15363" width="8.7109375" style="36"/>
    <col min="15364" max="15364" width="11.42578125" style="36" customWidth="1"/>
    <col min="15365" max="15365" width="9.42578125" style="36" customWidth="1"/>
    <col min="15366" max="15366" width="14.7109375" style="36" customWidth="1"/>
    <col min="15367" max="15367" width="8.7109375" style="36"/>
    <col min="15368" max="15368" width="25" style="36" customWidth="1"/>
    <col min="15369" max="15369" width="9.5703125" style="36" customWidth="1"/>
    <col min="15370" max="15370" width="11.28515625" style="36" customWidth="1"/>
    <col min="15371" max="15371" width="15.7109375" style="36" customWidth="1"/>
    <col min="15372" max="15372" width="11.28515625" style="36" bestFit="1" customWidth="1"/>
    <col min="15373" max="15373" width="12.28515625" style="36" customWidth="1"/>
    <col min="15374" max="15374" width="13.28515625" style="36" customWidth="1"/>
    <col min="15375" max="15375" width="40.7109375" style="36" customWidth="1"/>
    <col min="15376" max="15376" width="29.28515625" style="36" bestFit="1" customWidth="1"/>
    <col min="15377" max="15377" width="17.5703125" style="36" customWidth="1"/>
    <col min="15378" max="15378" width="11.85546875" style="36" customWidth="1"/>
    <col min="15379" max="15386" width="6.7109375" style="36" customWidth="1"/>
    <col min="15387" max="15616" width="8.7109375" style="36"/>
    <col min="15617" max="15617" width="66" style="36" customWidth="1"/>
    <col min="15618" max="15618" width="15" style="36" customWidth="1"/>
    <col min="15619" max="15619" width="8.7109375" style="36"/>
    <col min="15620" max="15620" width="11.42578125" style="36" customWidth="1"/>
    <col min="15621" max="15621" width="9.42578125" style="36" customWidth="1"/>
    <col min="15622" max="15622" width="14.7109375" style="36" customWidth="1"/>
    <col min="15623" max="15623" width="8.7109375" style="36"/>
    <col min="15624" max="15624" width="25" style="36" customWidth="1"/>
    <col min="15625" max="15625" width="9.5703125" style="36" customWidth="1"/>
    <col min="15626" max="15626" width="11.28515625" style="36" customWidth="1"/>
    <col min="15627" max="15627" width="15.7109375" style="36" customWidth="1"/>
    <col min="15628" max="15628" width="11.28515625" style="36" bestFit="1" customWidth="1"/>
    <col min="15629" max="15629" width="12.28515625" style="36" customWidth="1"/>
    <col min="15630" max="15630" width="13.28515625" style="36" customWidth="1"/>
    <col min="15631" max="15631" width="40.7109375" style="36" customWidth="1"/>
    <col min="15632" max="15632" width="29.28515625" style="36" bestFit="1" customWidth="1"/>
    <col min="15633" max="15633" width="17.5703125" style="36" customWidth="1"/>
    <col min="15634" max="15634" width="11.85546875" style="36" customWidth="1"/>
    <col min="15635" max="15642" width="6.7109375" style="36" customWidth="1"/>
    <col min="15643" max="15872" width="8.7109375" style="36"/>
    <col min="15873" max="15873" width="66" style="36" customWidth="1"/>
    <col min="15874" max="15874" width="15" style="36" customWidth="1"/>
    <col min="15875" max="15875" width="8.7109375" style="36"/>
    <col min="15876" max="15876" width="11.42578125" style="36" customWidth="1"/>
    <col min="15877" max="15877" width="9.42578125" style="36" customWidth="1"/>
    <col min="15878" max="15878" width="14.7109375" style="36" customWidth="1"/>
    <col min="15879" max="15879" width="8.7109375" style="36"/>
    <col min="15880" max="15880" width="25" style="36" customWidth="1"/>
    <col min="15881" max="15881" width="9.5703125" style="36" customWidth="1"/>
    <col min="15882" max="15882" width="11.28515625" style="36" customWidth="1"/>
    <col min="15883" max="15883" width="15.7109375" style="36" customWidth="1"/>
    <col min="15884" max="15884" width="11.28515625" style="36" bestFit="1" customWidth="1"/>
    <col min="15885" max="15885" width="12.28515625" style="36" customWidth="1"/>
    <col min="15886" max="15886" width="13.28515625" style="36" customWidth="1"/>
    <col min="15887" max="15887" width="40.7109375" style="36" customWidth="1"/>
    <col min="15888" max="15888" width="29.28515625" style="36" bestFit="1" customWidth="1"/>
    <col min="15889" max="15889" width="17.5703125" style="36" customWidth="1"/>
    <col min="15890" max="15890" width="11.85546875" style="36" customWidth="1"/>
    <col min="15891" max="15898" width="6.7109375" style="36" customWidth="1"/>
    <col min="15899" max="16128" width="8.7109375" style="36"/>
    <col min="16129" max="16129" width="66" style="36" customWidth="1"/>
    <col min="16130" max="16130" width="15" style="36" customWidth="1"/>
    <col min="16131" max="16131" width="8.7109375" style="36"/>
    <col min="16132" max="16132" width="11.42578125" style="36" customWidth="1"/>
    <col min="16133" max="16133" width="9.42578125" style="36" customWidth="1"/>
    <col min="16134" max="16134" width="14.7109375" style="36" customWidth="1"/>
    <col min="16135" max="16135" width="8.7109375" style="36"/>
    <col min="16136" max="16136" width="25" style="36" customWidth="1"/>
    <col min="16137" max="16137" width="9.5703125" style="36" customWidth="1"/>
    <col min="16138" max="16138" width="11.28515625" style="36" customWidth="1"/>
    <col min="16139" max="16139" width="15.7109375" style="36" customWidth="1"/>
    <col min="16140" max="16140" width="11.28515625" style="36" bestFit="1" customWidth="1"/>
    <col min="16141" max="16141" width="12.28515625" style="36" customWidth="1"/>
    <col min="16142" max="16142" width="13.28515625" style="36" customWidth="1"/>
    <col min="16143" max="16143" width="40.7109375" style="36" customWidth="1"/>
    <col min="16144" max="16144" width="29.28515625" style="36" bestFit="1" customWidth="1"/>
    <col min="16145" max="16145" width="17.5703125" style="36" customWidth="1"/>
    <col min="16146" max="16146" width="11.85546875" style="36" customWidth="1"/>
    <col min="16147" max="16154" width="6.7109375" style="36" customWidth="1"/>
    <col min="16155" max="16384" width="8.7109375" style="36"/>
  </cols>
  <sheetData>
    <row r="1" spans="1:14" ht="25.15" customHeight="1">
      <c r="A1" s="1" t="s">
        <v>0</v>
      </c>
      <c r="B1" s="1">
        <v>4</v>
      </c>
      <c r="C1" s="2" t="s">
        <v>147</v>
      </c>
      <c r="H1" s="4" t="s">
        <v>1</v>
      </c>
      <c r="I1" s="5"/>
      <c r="J1" s="3"/>
      <c r="K1" s="3"/>
      <c r="L1" s="3"/>
      <c r="M1" s="3"/>
      <c r="N1" s="3"/>
    </row>
    <row r="2" spans="1:14" ht="15" customHeight="1">
      <c r="A2" s="6"/>
      <c r="B2" s="7" t="s">
        <v>2</v>
      </c>
      <c r="C2" s="8"/>
      <c r="D2" s="251" t="s">
        <v>3</v>
      </c>
      <c r="E2" s="252"/>
      <c r="F2" s="253" t="s">
        <v>4</v>
      </c>
      <c r="H2" s="3"/>
      <c r="I2" s="3"/>
      <c r="J2" s="3"/>
      <c r="K2" s="3"/>
      <c r="L2" s="3"/>
      <c r="M2" s="3"/>
      <c r="N2" s="3"/>
    </row>
    <row r="3" spans="1:14" ht="15" customHeight="1">
      <c r="A3" s="9" t="s">
        <v>5</v>
      </c>
      <c r="B3" s="250">
        <f>57846.5754655832+64512.4974683833</f>
        <v>122359.0729339665</v>
      </c>
      <c r="C3" s="10">
        <f>SUM(C4:C5)</f>
        <v>1</v>
      </c>
      <c r="D3" s="255" t="e">
        <f>SUM(D4:D5)</f>
        <v>#VALUE!</v>
      </c>
      <c r="E3" s="254" t="e">
        <f>D3/$D$3</f>
        <v>#VALUE!</v>
      </c>
      <c r="F3" s="256" t="s">
        <v>6</v>
      </c>
      <c r="H3" s="9" t="s">
        <v>7</v>
      </c>
      <c r="I3" s="11">
        <v>0</v>
      </c>
      <c r="J3" s="12" t="s">
        <v>8</v>
      </c>
      <c r="K3" s="3"/>
      <c r="L3" s="13" t="s">
        <v>9</v>
      </c>
      <c r="M3" s="527">
        <v>0.47276081845439644</v>
      </c>
      <c r="N3" s="14">
        <f>M3*B3</f>
        <v>57846.575465583192</v>
      </c>
    </row>
    <row r="4" spans="1:14" ht="15" customHeight="1">
      <c r="A4" s="15" t="s">
        <v>10</v>
      </c>
      <c r="B4" s="16">
        <f>C4*B3</f>
        <v>104647.59635209976</v>
      </c>
      <c r="C4" s="17">
        <v>0.85524999366883825</v>
      </c>
      <c r="D4" s="257" t="e">
        <f>SUMIFS([20]Ram!G2:G988,[20]Ram!C2:C988,230,[20]Ram!F2:F988,"S")</f>
        <v>#VALUE!</v>
      </c>
      <c r="E4" s="258" t="e">
        <f>D4/$D$3</f>
        <v>#VALUE!</v>
      </c>
      <c r="F4" s="259" t="e">
        <f>B4/D4</f>
        <v>#VALUE!</v>
      </c>
      <c r="H4" s="3"/>
      <c r="I4" s="3"/>
      <c r="J4" s="3"/>
      <c r="K4" s="3"/>
      <c r="L4" s="13" t="s">
        <v>11</v>
      </c>
      <c r="M4" s="527">
        <v>0.52723918154560367</v>
      </c>
      <c r="N4" s="14">
        <f>M4*B3</f>
        <v>64512.497468383321</v>
      </c>
    </row>
    <row r="5" spans="1:14" ht="15" customHeight="1">
      <c r="A5" s="18" t="s">
        <v>12</v>
      </c>
      <c r="B5" s="19">
        <f>C5*B3</f>
        <v>17711.476581866733</v>
      </c>
      <c r="C5" s="20">
        <f>1-C4</f>
        <v>0.14475000633116175</v>
      </c>
      <c r="D5" s="260" t="e">
        <f>SUMIFS([20]Ram!G2:G988,[20]Ram!C2:C988,115,[20]Ram!F2:F988,"S")</f>
        <v>#VALUE!</v>
      </c>
      <c r="E5" s="261" t="e">
        <f>D5/$D$3</f>
        <v>#VALUE!</v>
      </c>
      <c r="F5" s="262" t="e">
        <f>B5/D5</f>
        <v>#VALUE!</v>
      </c>
      <c r="H5" s="3"/>
      <c r="I5" s="3"/>
      <c r="J5" s="3"/>
      <c r="K5" s="3"/>
      <c r="L5" s="3"/>
      <c r="M5" s="3"/>
      <c r="N5" s="3"/>
    </row>
    <row r="6" spans="1:14" ht="15" customHeight="1">
      <c r="A6" s="21"/>
      <c r="B6" s="21"/>
      <c r="C6" s="22"/>
      <c r="E6" s="263"/>
      <c r="H6" s="3"/>
      <c r="I6" s="3"/>
      <c r="J6" s="3"/>
      <c r="K6" s="3"/>
      <c r="L6" s="23" t="s">
        <v>13</v>
      </c>
      <c r="M6" s="24">
        <f>[20]ENERGIA!L17</f>
        <v>0</v>
      </c>
      <c r="N6" s="25" t="s">
        <v>14</v>
      </c>
    </row>
    <row r="7" spans="1:14" ht="15" customHeight="1">
      <c r="A7" s="26" t="s">
        <v>15</v>
      </c>
      <c r="B7" s="250"/>
      <c r="C7" s="10">
        <v>1</v>
      </c>
      <c r="D7" s="264" t="e">
        <f>SUMIF([20]Ram!F3:F988,"SD",[20]Ram!G3:G988)</f>
        <v>#VALUE!</v>
      </c>
      <c r="E7" s="254">
        <v>1</v>
      </c>
      <c r="F7" s="265">
        <f>IF(B7&gt;0,B7/D7,0)</f>
        <v>0</v>
      </c>
      <c r="G7" s="36" t="s">
        <v>138</v>
      </c>
      <c r="H7" s="9" t="s">
        <v>16</v>
      </c>
      <c r="I7" s="11">
        <v>0</v>
      </c>
      <c r="J7" s="12" t="s">
        <v>8</v>
      </c>
      <c r="K7" s="3"/>
      <c r="L7" s="27" t="s">
        <v>17</v>
      </c>
      <c r="M7" s="28">
        <f>[20]ENERGIA!L2</f>
        <v>0</v>
      </c>
      <c r="N7" s="29" t="s">
        <v>14</v>
      </c>
    </row>
    <row r="9" spans="1:14" ht="15" customHeight="1">
      <c r="A9" s="532" t="s">
        <v>18</v>
      </c>
      <c r="B9" s="532"/>
      <c r="C9" s="532"/>
      <c r="D9" s="532"/>
      <c r="E9" s="532"/>
      <c r="F9" s="532"/>
      <c r="G9" s="532"/>
      <c r="H9" s="532"/>
      <c r="I9" s="532"/>
      <c r="J9" s="532"/>
      <c r="K9" s="532"/>
      <c r="L9" s="532"/>
    </row>
    <row r="10" spans="1:14" ht="15" customHeight="1">
      <c r="A10" s="266" t="s">
        <v>19</v>
      </c>
      <c r="B10" s="267">
        <v>1</v>
      </c>
      <c r="C10" s="268">
        <v>2</v>
      </c>
      <c r="D10" s="268">
        <v>3</v>
      </c>
      <c r="E10" s="268">
        <v>4</v>
      </c>
      <c r="F10" s="268">
        <v>5</v>
      </c>
      <c r="G10" s="268">
        <v>6</v>
      </c>
      <c r="H10" s="268">
        <v>7</v>
      </c>
      <c r="I10" s="268">
        <v>8</v>
      </c>
      <c r="J10" s="268">
        <v>9</v>
      </c>
      <c r="K10" s="269">
        <v>10</v>
      </c>
      <c r="L10" s="270" t="s">
        <v>20</v>
      </c>
    </row>
    <row r="11" spans="1:14" ht="15" customHeight="1">
      <c r="A11" s="271" t="s">
        <v>21</v>
      </c>
      <c r="B11" s="272">
        <f t="shared" ref="B11:K11" si="0">SUMIF($G$17:$G$1036,B$10,$D$17:$D$1037)</f>
        <v>381.78000000000003</v>
      </c>
      <c r="C11" s="272">
        <f t="shared" si="0"/>
        <v>548.68000000000006</v>
      </c>
      <c r="D11" s="272">
        <f t="shared" si="0"/>
        <v>194.10000000000005</v>
      </c>
      <c r="E11" s="272">
        <f t="shared" si="0"/>
        <v>857.84999999999968</v>
      </c>
      <c r="F11" s="272">
        <f t="shared" si="0"/>
        <v>806.46999999999991</v>
      </c>
      <c r="G11" s="272">
        <f t="shared" si="0"/>
        <v>451.46</v>
      </c>
      <c r="H11" s="272">
        <f t="shared" si="0"/>
        <v>153.13999999999999</v>
      </c>
      <c r="I11" s="272">
        <f t="shared" si="0"/>
        <v>260</v>
      </c>
      <c r="J11" s="272">
        <f t="shared" si="0"/>
        <v>1376.25</v>
      </c>
      <c r="K11" s="272">
        <f t="shared" si="0"/>
        <v>254.8</v>
      </c>
      <c r="L11" s="273">
        <f>SUM(B11:K11)</f>
        <v>5284.53</v>
      </c>
      <c r="M11" s="281">
        <f>SUM(D17,D37,D45,D58,D117,D166,D188,D193,D196,D204)</f>
        <v>5284.53</v>
      </c>
    </row>
    <row r="12" spans="1:14" ht="15" customHeight="1">
      <c r="A12" s="275" t="s">
        <v>22</v>
      </c>
      <c r="B12" s="276">
        <f t="shared" ref="B12:K12" si="1">SUMIF($M$18:$M$1033,B$10,$K$18:$K$1033)</f>
        <v>28.91</v>
      </c>
      <c r="C12" s="276">
        <f t="shared" si="1"/>
        <v>0</v>
      </c>
      <c r="D12" s="276">
        <f t="shared" si="1"/>
        <v>0.09</v>
      </c>
      <c r="E12" s="276">
        <f t="shared" si="1"/>
        <v>144.69999999999999</v>
      </c>
      <c r="F12" s="276">
        <f t="shared" si="1"/>
        <v>225.22</v>
      </c>
      <c r="G12" s="276">
        <f t="shared" si="1"/>
        <v>295.17999999999995</v>
      </c>
      <c r="H12" s="276">
        <f t="shared" si="1"/>
        <v>1084.07</v>
      </c>
      <c r="I12" s="276">
        <f t="shared" si="1"/>
        <v>1.9</v>
      </c>
      <c r="J12" s="276">
        <f t="shared" si="1"/>
        <v>158.94999999999999</v>
      </c>
      <c r="K12" s="276">
        <f t="shared" si="1"/>
        <v>58.54</v>
      </c>
      <c r="L12" s="277">
        <f>SUM(B12:K12)</f>
        <v>1997.56</v>
      </c>
      <c r="M12" s="274">
        <f>SUM(K17,K22,K24,K28,K33,K43,K51,K71,K75,K82)</f>
        <v>1997.56</v>
      </c>
    </row>
    <row r="13" spans="1:14" ht="15" customHeight="1">
      <c r="M13" s="278"/>
    </row>
    <row r="15" spans="1:14" ht="15" customHeight="1">
      <c r="A15" s="282" t="s">
        <v>23</v>
      </c>
      <c r="B15" s="283"/>
      <c r="C15" s="283"/>
      <c r="D15" s="283"/>
      <c r="E15" s="283"/>
      <c r="F15" s="283"/>
      <c r="G15" s="284"/>
      <c r="H15" s="282" t="s">
        <v>24</v>
      </c>
      <c r="I15" s="283"/>
      <c r="J15" s="283"/>
      <c r="K15" s="283"/>
      <c r="L15" s="283"/>
      <c r="M15" s="283"/>
    </row>
    <row r="16" spans="1:14" ht="25.5">
      <c r="A16" s="285" t="s">
        <v>25</v>
      </c>
      <c r="B16" s="286"/>
      <c r="C16" s="287" t="s">
        <v>26</v>
      </c>
      <c r="D16" s="31" t="s">
        <v>21</v>
      </c>
      <c r="E16" s="31" t="s">
        <v>27</v>
      </c>
      <c r="F16" s="279"/>
      <c r="G16" s="279"/>
      <c r="H16" s="288" t="s">
        <v>25</v>
      </c>
      <c r="I16" s="289"/>
      <c r="J16" s="290" t="s">
        <v>26</v>
      </c>
      <c r="K16" s="291" t="s">
        <v>22</v>
      </c>
      <c r="L16" s="280">
        <f>+K17+K22+K24+K28+K33+K43+K51+K71+K75+K82</f>
        <v>1997.56</v>
      </c>
      <c r="M16" s="279"/>
    </row>
    <row r="17" spans="1:13" ht="15" customHeight="1">
      <c r="A17" s="32">
        <v>1</v>
      </c>
      <c r="B17" s="33"/>
      <c r="C17" s="43"/>
      <c r="D17" s="488">
        <f>SUM(D18:D35)</f>
        <v>381.78000000000003</v>
      </c>
      <c r="E17" s="294"/>
      <c r="F17" s="30"/>
      <c r="G17" s="30"/>
      <c r="H17" s="295">
        <v>1</v>
      </c>
      <c r="I17" s="296"/>
      <c r="J17" s="318"/>
      <c r="K17" s="297">
        <f>SUM(K18:K20)</f>
        <v>28.91</v>
      </c>
      <c r="L17" s="278"/>
      <c r="M17" s="278"/>
    </row>
    <row r="18" spans="1:13" ht="15" customHeight="1">
      <c r="A18" s="343" t="s">
        <v>149</v>
      </c>
      <c r="B18" s="344" t="s">
        <v>150</v>
      </c>
      <c r="C18" s="353">
        <v>6014</v>
      </c>
      <c r="D18" s="353">
        <v>87.6</v>
      </c>
      <c r="E18" s="351">
        <v>0</v>
      </c>
      <c r="F18" s="30" t="str">
        <f>IFERROR(VLOOKUP($C18,[20]Nod!$A$3:$E$988,4,FALSE)," ")</f>
        <v>PRO230</v>
      </c>
      <c r="G18" s="30">
        <f>IFERROR(VLOOKUP($C18,[20]Nod!$A$3:$E$988,5,FALSE)," ")</f>
        <v>1</v>
      </c>
      <c r="H18" s="293" t="s">
        <v>28</v>
      </c>
      <c r="I18" s="64"/>
      <c r="J18" s="65"/>
      <c r="K18" s="65"/>
      <c r="L18" s="278"/>
      <c r="M18" s="278"/>
    </row>
    <row r="19" spans="1:13" ht="15" customHeight="1">
      <c r="A19" s="343" t="s">
        <v>151</v>
      </c>
      <c r="B19" s="344" t="s">
        <v>150</v>
      </c>
      <c r="C19" s="353">
        <v>6014</v>
      </c>
      <c r="D19" s="353">
        <v>57.4</v>
      </c>
      <c r="E19" s="351">
        <v>0</v>
      </c>
      <c r="F19" s="30" t="str">
        <f>IFERROR(VLOOKUP($C19,[20]Nod!$A$3:$E$988,4,FALSE)," ")</f>
        <v>PRO230</v>
      </c>
      <c r="G19" s="30">
        <f>IFERROR(VLOOKUP($C19,[20]Nod!$A$3:$E$988,5,FALSE)," ")</f>
        <v>1</v>
      </c>
      <c r="H19" s="66" t="s">
        <v>29</v>
      </c>
      <c r="I19" s="64"/>
      <c r="J19" s="65">
        <v>6014</v>
      </c>
      <c r="K19" s="62">
        <v>28.53</v>
      </c>
      <c r="L19" s="278" t="str">
        <f>VLOOKUP($J19,[20]Nod!$A$3:$E$987,4,FALSE)</f>
        <v>PRO230</v>
      </c>
      <c r="M19" s="278">
        <f>VLOOKUP($J19,[20]Nod!$A$3:$E$987,5,FALSE)</f>
        <v>1</v>
      </c>
    </row>
    <row r="20" spans="1:13" ht="15" customHeight="1">
      <c r="A20" s="343" t="s">
        <v>152</v>
      </c>
      <c r="B20" s="344" t="s">
        <v>150</v>
      </c>
      <c r="C20" s="353">
        <v>6014</v>
      </c>
      <c r="D20" s="353">
        <v>30</v>
      </c>
      <c r="E20" s="351">
        <v>0</v>
      </c>
      <c r="F20" s="30" t="str">
        <f>IFERROR(VLOOKUP($C20,[20]Nod!$A$3:$E$988,4,FALSE)," ")</f>
        <v>PRO230</v>
      </c>
      <c r="G20" s="30">
        <f>IFERROR(VLOOKUP($C20,[20]Nod!$A$3:$E$988,5,FALSE)," ")</f>
        <v>1</v>
      </c>
      <c r="H20" s="66" t="s">
        <v>30</v>
      </c>
      <c r="I20" s="64"/>
      <c r="J20" s="65">
        <v>6014</v>
      </c>
      <c r="K20" s="62">
        <v>0.38</v>
      </c>
      <c r="L20" s="278" t="str">
        <f>VLOOKUP($J20,[20]Nod!$A$3:$E$987,4,FALSE)</f>
        <v>PRO230</v>
      </c>
      <c r="M20" s="278">
        <f>VLOOKUP($J20,[20]Nod!$A$3:$E$987,5,FALSE)</f>
        <v>1</v>
      </c>
    </row>
    <row r="21" spans="1:13" ht="15" customHeight="1">
      <c r="A21" s="343" t="s">
        <v>153</v>
      </c>
      <c r="B21" s="344" t="s">
        <v>150</v>
      </c>
      <c r="C21" s="353">
        <v>6014</v>
      </c>
      <c r="D21" s="353">
        <v>27.9</v>
      </c>
      <c r="E21" s="351">
        <v>0</v>
      </c>
      <c r="F21" s="30" t="str">
        <f>IFERROR(VLOOKUP($C21,[20]Nod!$A$3:$E$988,4,FALSE)," ")</f>
        <v>PRO230</v>
      </c>
      <c r="G21" s="30">
        <f>IFERROR(VLOOKUP($C21,[20]Nod!$A$3:$E$988,5,FALSE)," ")</f>
        <v>1</v>
      </c>
      <c r="H21" s="299" t="s">
        <v>31</v>
      </c>
      <c r="I21" s="300"/>
      <c r="J21" s="302"/>
      <c r="K21" s="302"/>
      <c r="L21" s="278"/>
      <c r="M21" s="278"/>
    </row>
    <row r="22" spans="1:13" ht="15" customHeight="1">
      <c r="A22" s="343" t="s">
        <v>154</v>
      </c>
      <c r="B22" s="344" t="s">
        <v>150</v>
      </c>
      <c r="C22" s="353">
        <v>6014</v>
      </c>
      <c r="D22" s="353">
        <v>10</v>
      </c>
      <c r="E22" s="351">
        <v>0</v>
      </c>
      <c r="F22" s="30" t="str">
        <f>IFERROR(VLOOKUP($C22,[20]Nod!$A$3:$E$988,4,FALSE)," ")</f>
        <v>PRO230</v>
      </c>
      <c r="G22" s="30">
        <f>IFERROR(VLOOKUP($C22,[20]Nod!$A$3:$E$988,5,FALSE)," ")</f>
        <v>1</v>
      </c>
      <c r="H22" s="303">
        <v>2</v>
      </c>
      <c r="I22" s="296"/>
      <c r="J22" s="318"/>
      <c r="K22" s="297">
        <v>0</v>
      </c>
      <c r="L22" s="278"/>
      <c r="M22" s="278"/>
    </row>
    <row r="23" spans="1:13" ht="15" customHeight="1">
      <c r="A23" s="343" t="s">
        <v>155</v>
      </c>
      <c r="B23" s="344" t="s">
        <v>156</v>
      </c>
      <c r="C23" s="353">
        <v>6014</v>
      </c>
      <c r="D23" s="353">
        <v>10</v>
      </c>
      <c r="E23" s="351">
        <v>0</v>
      </c>
      <c r="F23" s="30" t="str">
        <f>IFERROR(VLOOKUP($C23,[20]Nod!$A$3:$E$988,4,FALSE)," ")</f>
        <v>PRO230</v>
      </c>
      <c r="G23" s="30">
        <f>IFERROR(VLOOKUP($C23,[20]Nod!$A$3:$E$988,5,FALSE)," ")</f>
        <v>1</v>
      </c>
      <c r="H23" s="299" t="s">
        <v>31</v>
      </c>
      <c r="I23" s="300"/>
      <c r="J23" s="302"/>
      <c r="K23" s="302"/>
      <c r="L23" s="278"/>
      <c r="M23" s="278"/>
    </row>
    <row r="24" spans="1:13" ht="15" customHeight="1">
      <c r="A24" s="343" t="s">
        <v>157</v>
      </c>
      <c r="B24" s="344" t="s">
        <v>156</v>
      </c>
      <c r="C24" s="353">
        <v>6014</v>
      </c>
      <c r="D24" s="353">
        <v>5.5</v>
      </c>
      <c r="E24" s="351">
        <v>0</v>
      </c>
      <c r="F24" s="30" t="str">
        <f>IFERROR(VLOOKUP($C24,[20]Nod!$A$3:$E$988,4,FALSE)," ")</f>
        <v>PRO230</v>
      </c>
      <c r="G24" s="30">
        <f>IFERROR(VLOOKUP($C24,[20]Nod!$A$3:$E$988,5,FALSE)," ")</f>
        <v>1</v>
      </c>
      <c r="H24" s="295">
        <v>3</v>
      </c>
      <c r="I24" s="296"/>
      <c r="J24" s="318"/>
      <c r="K24" s="297">
        <f>SUM(K25:K27)</f>
        <v>0.09</v>
      </c>
      <c r="L24" s="278"/>
      <c r="M24" s="278"/>
    </row>
    <row r="25" spans="1:13" ht="15" customHeight="1">
      <c r="A25" s="343" t="s">
        <v>158</v>
      </c>
      <c r="B25" s="344" t="s">
        <v>156</v>
      </c>
      <c r="C25" s="353">
        <v>6014</v>
      </c>
      <c r="D25" s="482">
        <v>25</v>
      </c>
      <c r="E25" s="351">
        <v>0</v>
      </c>
      <c r="F25" s="30" t="str">
        <f>IFERROR(VLOOKUP($C25,[20]Nod!$A$3:$E$988,4,FALSE)," ")</f>
        <v>PRO230</v>
      </c>
      <c r="G25" s="30">
        <f>IFERROR(VLOOKUP($C25,[20]Nod!$A$3:$E$988,5,FALSE)," ")</f>
        <v>1</v>
      </c>
      <c r="H25" s="293" t="s">
        <v>28</v>
      </c>
      <c r="I25" s="64"/>
      <c r="J25" s="65"/>
      <c r="K25" s="65"/>
      <c r="L25" s="278"/>
      <c r="M25" s="278"/>
    </row>
    <row r="26" spans="1:13" ht="15" customHeight="1">
      <c r="A26" s="343" t="s">
        <v>159</v>
      </c>
      <c r="B26" s="344" t="s">
        <v>156</v>
      </c>
      <c r="C26" s="353">
        <v>6014</v>
      </c>
      <c r="D26" s="482">
        <v>25.9</v>
      </c>
      <c r="E26" s="351">
        <v>0</v>
      </c>
      <c r="F26" s="30" t="str">
        <f>IFERROR(VLOOKUP($C26,[20]Nod!$A$3:$E$988,4,FALSE)," ")</f>
        <v>PRO230</v>
      </c>
      <c r="G26" s="30">
        <f>IFERROR(VLOOKUP($C26,[20]Nod!$A$3:$E$988,5,FALSE)," ")</f>
        <v>1</v>
      </c>
      <c r="H26" s="66" t="s">
        <v>32</v>
      </c>
      <c r="I26" s="64"/>
      <c r="J26" s="65">
        <v>6087</v>
      </c>
      <c r="K26" s="62">
        <v>0.09</v>
      </c>
      <c r="L26" s="278" t="str">
        <f>VLOOKUP($J26,[20]Nod!$A$3:$E$987,4,FALSE)</f>
        <v>CAL115</v>
      </c>
      <c r="M26" s="278">
        <f>VLOOKUP($J26,[20]Nod!$A$3:$E$987,5,FALSE)</f>
        <v>3</v>
      </c>
    </row>
    <row r="27" spans="1:13" ht="15" customHeight="1">
      <c r="A27" s="343" t="s">
        <v>160</v>
      </c>
      <c r="B27" s="344" t="s">
        <v>156</v>
      </c>
      <c r="C27" s="353">
        <v>6014</v>
      </c>
      <c r="D27" s="482">
        <v>10</v>
      </c>
      <c r="E27" s="351">
        <v>0</v>
      </c>
      <c r="F27" s="30" t="str">
        <f>IFERROR(VLOOKUP($C27,[20]Nod!$A$3:$E$988,4,FALSE)," ")</f>
        <v>PRO230</v>
      </c>
      <c r="G27" s="30">
        <f>IFERROR(VLOOKUP($C27,[20]Nod!$A$3:$E$988,5,FALSE)," ")</f>
        <v>1</v>
      </c>
      <c r="H27" s="299" t="s">
        <v>31</v>
      </c>
      <c r="I27" s="300"/>
      <c r="J27" s="302"/>
      <c r="K27" s="302"/>
      <c r="L27" s="278"/>
      <c r="M27" s="278"/>
    </row>
    <row r="28" spans="1:13" ht="15" customHeight="1">
      <c r="A28" s="343" t="s">
        <v>161</v>
      </c>
      <c r="B28" s="344" t="s">
        <v>156</v>
      </c>
      <c r="C28" s="353">
        <v>6014</v>
      </c>
      <c r="D28" s="482">
        <v>10</v>
      </c>
      <c r="E28" s="351">
        <v>0</v>
      </c>
      <c r="F28" s="30" t="str">
        <f>IFERROR(VLOOKUP($C28,[20]Nod!$A$3:$E$988,4,FALSE)," ")</f>
        <v>PRO230</v>
      </c>
      <c r="G28" s="30">
        <f>IFERROR(VLOOKUP($C28,[20]Nod!$A$3:$E$988,5,FALSE)," ")</f>
        <v>1</v>
      </c>
      <c r="H28" s="295">
        <v>4</v>
      </c>
      <c r="I28" s="296"/>
      <c r="J28" s="318"/>
      <c r="K28" s="297">
        <f>SUM(K29:K32)</f>
        <v>144.69999999999999</v>
      </c>
      <c r="L28" s="278"/>
      <c r="M28" s="278"/>
    </row>
    <row r="29" spans="1:13" ht="15" customHeight="1">
      <c r="A29" s="343" t="s">
        <v>162</v>
      </c>
      <c r="B29" s="344" t="s">
        <v>156</v>
      </c>
      <c r="C29" s="353">
        <v>6014</v>
      </c>
      <c r="D29" s="482">
        <v>10</v>
      </c>
      <c r="E29" s="351">
        <v>0</v>
      </c>
      <c r="F29" s="30" t="str">
        <f>IFERROR(VLOOKUP($C29,[20]Nod!$A$3:$E$988,4,FALSE)," ")</f>
        <v>PRO230</v>
      </c>
      <c r="G29" s="30">
        <f>IFERROR(VLOOKUP($C29,[20]Nod!$A$3:$E$988,5,FALSE)," ")</f>
        <v>1</v>
      </c>
      <c r="H29" s="293" t="s">
        <v>28</v>
      </c>
      <c r="I29" s="64"/>
      <c r="J29" s="65"/>
      <c r="K29" s="65"/>
      <c r="L29" s="278"/>
      <c r="M29" s="278"/>
    </row>
    <row r="30" spans="1:13" ht="15" customHeight="1">
      <c r="A30" s="343" t="s">
        <v>163</v>
      </c>
      <c r="B30" s="344" t="s">
        <v>156</v>
      </c>
      <c r="C30" s="353">
        <v>6515</v>
      </c>
      <c r="D30" s="482">
        <v>10</v>
      </c>
      <c r="E30" s="351">
        <v>0</v>
      </c>
      <c r="F30" s="30" t="str">
        <f>IFERROR(VLOOKUP($C30,[20]Nod!$A$3:$E$988,4,FALSE)," ")</f>
        <v>PRO2-230</v>
      </c>
      <c r="G30" s="30">
        <f>IFERROR(VLOOKUP($C30,[20]Nod!$A$3:$E$988,5,FALSE)," ")</f>
        <v>1</v>
      </c>
      <c r="H30" s="54" t="s">
        <v>33</v>
      </c>
      <c r="I30" s="64"/>
      <c r="J30" s="65">
        <v>6013</v>
      </c>
      <c r="K30" s="62"/>
      <c r="L30" s="278" t="str">
        <f>VLOOKUP($J30,[20]Nod!$A$3:$E$987,4,FALSE)</f>
        <v>MDN34</v>
      </c>
      <c r="M30" s="278">
        <f>VLOOKUP($J30,[20]Nod!$A$3:$E$987,5,FALSE)</f>
        <v>4</v>
      </c>
    </row>
    <row r="31" spans="1:13" ht="15" customHeight="1">
      <c r="A31" s="343" t="s">
        <v>164</v>
      </c>
      <c r="B31" s="344" t="s">
        <v>156</v>
      </c>
      <c r="C31" s="353">
        <v>6014</v>
      </c>
      <c r="D31" s="482">
        <v>10</v>
      </c>
      <c r="E31" s="351">
        <v>0</v>
      </c>
      <c r="F31" s="30" t="str">
        <f>IFERROR(VLOOKUP($C31,[20]Nod!$A$3:$E$988,4,FALSE)," ")</f>
        <v>PRO230</v>
      </c>
      <c r="G31" s="30">
        <f>IFERROR(VLOOKUP($C31,[20]Nod!$A$3:$E$988,5,FALSE)," ")</f>
        <v>1</v>
      </c>
      <c r="H31" s="54" t="s">
        <v>34</v>
      </c>
      <c r="I31" s="64"/>
      <c r="J31" s="65">
        <v>6013</v>
      </c>
      <c r="K31" s="322">
        <v>144.69999999999999</v>
      </c>
      <c r="L31" s="278" t="str">
        <f>VLOOKUP($J31,[20]Nod!$A$3:$E$987,4,FALSE)</f>
        <v>MDN34</v>
      </c>
      <c r="M31" s="278">
        <f>VLOOKUP($J31,[20]Nod!$A$3:$E$987,5,FALSE)</f>
        <v>4</v>
      </c>
    </row>
    <row r="32" spans="1:13" ht="15" customHeight="1">
      <c r="A32" s="343" t="s">
        <v>165</v>
      </c>
      <c r="B32" s="344" t="s">
        <v>156</v>
      </c>
      <c r="C32" s="353">
        <v>6014</v>
      </c>
      <c r="D32" s="353">
        <v>19.88</v>
      </c>
      <c r="E32" s="351">
        <v>0</v>
      </c>
      <c r="F32" s="30" t="str">
        <f>IFERROR(VLOOKUP($C32,[20]Nod!$A$3:$E$988,4,FALSE)," ")</f>
        <v>PRO230</v>
      </c>
      <c r="G32" s="30">
        <f>IFERROR(VLOOKUP($C32,[20]Nod!$A$3:$E$988,5,FALSE)," ")</f>
        <v>1</v>
      </c>
      <c r="H32" s="299" t="s">
        <v>31</v>
      </c>
      <c r="I32" s="300"/>
      <c r="J32" s="302"/>
      <c r="K32" s="304"/>
      <c r="L32" s="278"/>
      <c r="M32" s="278"/>
    </row>
    <row r="33" spans="1:13" ht="15" customHeight="1">
      <c r="A33" s="343" t="s">
        <v>166</v>
      </c>
      <c r="B33" s="344" t="s">
        <v>156</v>
      </c>
      <c r="C33" s="353">
        <v>6014</v>
      </c>
      <c r="D33" s="482">
        <v>17.600000000000001</v>
      </c>
      <c r="E33" s="351">
        <v>0</v>
      </c>
      <c r="F33" s="30" t="str">
        <f>IFERROR(VLOOKUP($C33,[20]Nod!$A$3:$E$988,4,FALSE)," ")</f>
        <v>PRO230</v>
      </c>
      <c r="G33" s="30">
        <f>IFERROR(VLOOKUP($C33,[20]Nod!$A$3:$E$988,5,FALSE)," ")</f>
        <v>1</v>
      </c>
      <c r="H33" s="305">
        <v>5</v>
      </c>
      <c r="I33" s="306"/>
      <c r="J33" s="317"/>
      <c r="K33" s="307">
        <f>SUM(K34:K42)</f>
        <v>225.22</v>
      </c>
      <c r="L33" s="278"/>
      <c r="M33" s="278"/>
    </row>
    <row r="34" spans="1:13" ht="15" customHeight="1">
      <c r="A34" s="348" t="s">
        <v>321</v>
      </c>
      <c r="B34" s="344" t="s">
        <v>156</v>
      </c>
      <c r="C34" s="353">
        <v>6014</v>
      </c>
      <c r="D34" s="482">
        <v>10</v>
      </c>
      <c r="E34" s="351">
        <v>0</v>
      </c>
      <c r="F34" s="30" t="str">
        <f>IFERROR(VLOOKUP($C34,[20]Nod!$A$3:$E$988,4,FALSE)," ")</f>
        <v>PRO230</v>
      </c>
      <c r="G34" s="30">
        <f>IFERROR(VLOOKUP($C34,[20]Nod!$A$3:$E$988,5,FALSE)," ")</f>
        <v>1</v>
      </c>
      <c r="H34" s="293" t="s">
        <v>35</v>
      </c>
      <c r="I34" s="64"/>
      <c r="J34" s="65"/>
      <c r="K34" s="308"/>
      <c r="L34" s="278"/>
      <c r="M34" s="278"/>
    </row>
    <row r="35" spans="1:13" ht="15" customHeight="1">
      <c r="A35" s="348" t="s">
        <v>348</v>
      </c>
      <c r="B35" s="344" t="s">
        <v>156</v>
      </c>
      <c r="C35" s="353">
        <v>6014</v>
      </c>
      <c r="D35" s="482">
        <v>5</v>
      </c>
      <c r="E35" s="351">
        <v>0</v>
      </c>
      <c r="F35" s="30" t="str">
        <f>IFERROR(VLOOKUP($C35,[20]Nod!$A$3:$E$988,4,FALSE)," ")</f>
        <v>PRO230</v>
      </c>
      <c r="G35" s="30">
        <f>IFERROR(VLOOKUP($C35,[20]Nod!$A$3:$E$988,5,FALSE)," ")</f>
        <v>1</v>
      </c>
      <c r="H35" s="309" t="s">
        <v>167</v>
      </c>
      <c r="I35" s="64"/>
      <c r="J35" s="65">
        <v>6460</v>
      </c>
      <c r="K35" s="62">
        <v>201.43</v>
      </c>
      <c r="L35" s="278" t="str">
        <f>VLOOKUP($J35,[20]Nod!$A$3:$E$987,4,FALSE)</f>
        <v>ECO230</v>
      </c>
      <c r="M35" s="278">
        <f>VLOOKUP($J35,[20]Nod!$A$3:$E$987,5,FALSE)</f>
        <v>5</v>
      </c>
    </row>
    <row r="36" spans="1:13" ht="15" customHeight="1">
      <c r="A36" s="47" t="s">
        <v>31</v>
      </c>
      <c r="B36" s="3"/>
      <c r="C36" s="38"/>
      <c r="D36" s="302"/>
      <c r="E36" s="298"/>
      <c r="F36" s="30" t="str">
        <f>IFERROR(VLOOKUP($C36,[20]Nod!$A$3:$E$988,4,FALSE)," ")</f>
        <v xml:space="preserve"> </v>
      </c>
      <c r="G36" s="30" t="str">
        <f>IFERROR(VLOOKUP($C36,[20]Nod!$A$3:$E$988,5,FALSE)," ")</f>
        <v xml:space="preserve"> </v>
      </c>
      <c r="H36" s="293" t="s">
        <v>36</v>
      </c>
      <c r="I36" s="64"/>
      <c r="J36" s="65"/>
      <c r="K36" s="65"/>
      <c r="L36" s="278"/>
      <c r="M36" s="278"/>
    </row>
    <row r="37" spans="1:13" ht="15" customHeight="1">
      <c r="A37" s="48">
        <v>2</v>
      </c>
      <c r="B37" s="42"/>
      <c r="C37" s="43"/>
      <c r="D37" s="488">
        <f>SUM(D38:D43)</f>
        <v>548.68000000000006</v>
      </c>
      <c r="E37" s="294"/>
      <c r="F37" s="30" t="str">
        <f>IFERROR(VLOOKUP($C37,[20]Nod!$A$3:$E$988,4,FALSE)," ")</f>
        <v xml:space="preserve"> </v>
      </c>
      <c r="G37" s="30" t="str">
        <f>IFERROR(VLOOKUP($C37,[20]Nod!$A$3:$E$988,5,FALSE)," ")</f>
        <v xml:space="preserve"> </v>
      </c>
      <c r="H37" s="66" t="s">
        <v>37</v>
      </c>
      <c r="I37" s="64"/>
      <c r="J37" s="65">
        <v>6460</v>
      </c>
      <c r="K37" s="62">
        <v>0.94</v>
      </c>
      <c r="L37" s="278" t="str">
        <f>VLOOKUP($J37,[20]Nod!$A$3:$E$987,4,FALSE)</f>
        <v>ECO230</v>
      </c>
      <c r="M37" s="278">
        <f>VLOOKUP($J37,[20]Nod!$A$3:$E$987,5,FALSE)</f>
        <v>5</v>
      </c>
    </row>
    <row r="38" spans="1:13" ht="15" customHeight="1">
      <c r="A38" s="343" t="s">
        <v>168</v>
      </c>
      <c r="B38" s="344" t="s">
        <v>150</v>
      </c>
      <c r="C38" s="349">
        <v>6096</v>
      </c>
      <c r="D38" s="482">
        <v>300</v>
      </c>
      <c r="E38" s="351">
        <v>0</v>
      </c>
      <c r="F38" s="30" t="str">
        <f>IFERROR(VLOOKUP($C38,[20]Nod!$A$3:$E$988,4,FALSE)," ")</f>
        <v>FOR230</v>
      </c>
      <c r="G38" s="30">
        <f>IFERROR(VLOOKUP($C38,[20]Nod!$A$3:$E$988,5,FALSE)," ")</f>
        <v>2</v>
      </c>
      <c r="H38" s="66" t="s">
        <v>38</v>
      </c>
      <c r="I38" s="64"/>
      <c r="J38" s="65"/>
      <c r="K38" s="62"/>
      <c r="L38" s="278"/>
      <c r="M38" s="278"/>
    </row>
    <row r="39" spans="1:13" ht="15" customHeight="1">
      <c r="A39" s="343" t="s">
        <v>169</v>
      </c>
      <c r="B39" s="344" t="s">
        <v>150</v>
      </c>
      <c r="C39" s="349">
        <v>6179</v>
      </c>
      <c r="D39" s="482">
        <v>120</v>
      </c>
      <c r="E39" s="351">
        <v>0</v>
      </c>
      <c r="F39" s="30" t="str">
        <f>IFERROR(VLOOKUP($C39,[20]Nod!$A$3:$E$988,4,FALSE)," ")</f>
        <v>GUA230</v>
      </c>
      <c r="G39" s="30">
        <f>IFERROR(VLOOKUP($C39,[20]Nod!$A$3:$E$988,5,FALSE)," ")</f>
        <v>2</v>
      </c>
      <c r="H39" s="66" t="s">
        <v>39</v>
      </c>
      <c r="I39" s="64"/>
      <c r="J39" s="65">
        <v>6460</v>
      </c>
      <c r="K39" s="330">
        <v>0.85</v>
      </c>
      <c r="L39" s="278" t="str">
        <f>VLOOKUP($J39,[20]Nod!$A$3:$E$987,4,FALSE)</f>
        <v>ECO230</v>
      </c>
      <c r="M39" s="278">
        <f>VLOOKUP($J39,[20]Nod!$A$3:$E$987,5,FALSE)</f>
        <v>5</v>
      </c>
    </row>
    <row r="40" spans="1:13" ht="15" customHeight="1">
      <c r="A40" s="343" t="s">
        <v>170</v>
      </c>
      <c r="B40" s="344" t="s">
        <v>150</v>
      </c>
      <c r="C40" s="349">
        <v>6179</v>
      </c>
      <c r="D40" s="482">
        <v>35</v>
      </c>
      <c r="E40" s="351">
        <v>0</v>
      </c>
      <c r="F40" s="30" t="str">
        <f>IFERROR(VLOOKUP($C40,[20]Nod!$A$3:$E$988,4,FALSE)," ")</f>
        <v>GUA230</v>
      </c>
      <c r="G40" s="30">
        <f>IFERROR(VLOOKUP($C40,[20]Nod!$A$3:$E$988,5,FALSE)," ")</f>
        <v>2</v>
      </c>
      <c r="H40" s="329" t="s">
        <v>40</v>
      </c>
      <c r="I40" s="64"/>
      <c r="J40" s="65"/>
      <c r="K40" s="65"/>
      <c r="L40" s="278"/>
      <c r="M40" s="278"/>
    </row>
    <row r="41" spans="1:13" ht="15" customHeight="1">
      <c r="A41" s="343" t="s">
        <v>171</v>
      </c>
      <c r="B41" s="344" t="s">
        <v>150</v>
      </c>
      <c r="C41" s="349">
        <v>6179</v>
      </c>
      <c r="D41" s="482">
        <v>58.69</v>
      </c>
      <c r="E41" s="351">
        <v>0</v>
      </c>
      <c r="F41" s="30" t="str">
        <f>IFERROR(VLOOKUP($C41,[20]Nod!$A$3:$E$988,4,FALSE)," ")</f>
        <v>GUA230</v>
      </c>
      <c r="G41" s="30">
        <f>IFERROR(VLOOKUP($C41,[20]Nod!$A$3:$E$988,5,FALSE)," ")</f>
        <v>2</v>
      </c>
      <c r="H41" s="66" t="s">
        <v>41</v>
      </c>
      <c r="I41" s="64"/>
      <c r="J41" s="65">
        <v>6008</v>
      </c>
      <c r="K41" s="62">
        <v>22</v>
      </c>
      <c r="L41" s="278" t="str">
        <f>VLOOKUP($J41,[20]Nod!$A$3:$E$987,4,FALSE)</f>
        <v>LSA230</v>
      </c>
      <c r="M41" s="278">
        <f>VLOOKUP($J41,[20]Nod!$A$3:$E$987,5,FALSE)</f>
        <v>5</v>
      </c>
    </row>
    <row r="42" spans="1:13" ht="15" customHeight="1">
      <c r="A42" s="343" t="s">
        <v>172</v>
      </c>
      <c r="B42" s="344" t="s">
        <v>156</v>
      </c>
      <c r="C42" s="349">
        <v>6179</v>
      </c>
      <c r="D42" s="482">
        <v>9.69</v>
      </c>
      <c r="E42" s="351">
        <v>0</v>
      </c>
      <c r="F42" s="30" t="str">
        <f>IFERROR(VLOOKUP($C42,[20]Nod!$A$3:$E$988,4,FALSE)," ")</f>
        <v>GUA230</v>
      </c>
      <c r="G42" s="30">
        <f>IFERROR(VLOOKUP($C42,[20]Nod!$A$3:$E$988,5,FALSE)," ")</f>
        <v>2</v>
      </c>
      <c r="H42" s="311" t="s">
        <v>31</v>
      </c>
      <c r="I42" s="64"/>
      <c r="J42" s="65"/>
      <c r="K42" s="65"/>
      <c r="L42" s="278"/>
      <c r="M42" s="278"/>
    </row>
    <row r="43" spans="1:13" ht="15" customHeight="1">
      <c r="A43" s="343" t="s">
        <v>323</v>
      </c>
      <c r="B43" s="344" t="s">
        <v>150</v>
      </c>
      <c r="C43" s="349">
        <v>6179</v>
      </c>
      <c r="D43" s="482">
        <v>25.3</v>
      </c>
      <c r="E43" s="351">
        <v>0</v>
      </c>
      <c r="F43" s="30" t="str">
        <f>IFERROR(VLOOKUP($C43,[20]Nod!$A$3:$E$988,4,FALSE)," ")</f>
        <v>GUA230</v>
      </c>
      <c r="G43" s="30">
        <f>IFERROR(VLOOKUP($C43,[20]Nod!$A$3:$E$988,5,FALSE)," ")</f>
        <v>2</v>
      </c>
      <c r="H43" s="303">
        <v>6</v>
      </c>
      <c r="I43" s="296"/>
      <c r="J43" s="318"/>
      <c r="K43" s="297">
        <f>SUM(K44:K50)</f>
        <v>295.17999999999995</v>
      </c>
      <c r="L43" s="278"/>
      <c r="M43" s="278"/>
    </row>
    <row r="44" spans="1:13" ht="15" customHeight="1">
      <c r="A44" s="50" t="s">
        <v>31</v>
      </c>
      <c r="B44" s="40"/>
      <c r="C44" s="41"/>
      <c r="D44" s="302"/>
      <c r="E44" s="310"/>
      <c r="F44" s="30" t="str">
        <f>IFERROR(VLOOKUP($C44,[20]Nod!$A$3:$E$988,4,FALSE)," ")</f>
        <v xml:space="preserve"> </v>
      </c>
      <c r="G44" s="30" t="str">
        <f>IFERROR(VLOOKUP($C44,[20]Nod!$A$3:$E$988,5,FALSE)," ")</f>
        <v xml:space="preserve"> </v>
      </c>
      <c r="H44" s="293" t="s">
        <v>35</v>
      </c>
      <c r="I44" s="64"/>
      <c r="J44" s="65"/>
      <c r="K44" s="65"/>
      <c r="L44" s="278"/>
      <c r="M44" s="278"/>
    </row>
    <row r="45" spans="1:13" ht="15" customHeight="1">
      <c r="A45" s="32">
        <v>3</v>
      </c>
      <c r="B45" s="33"/>
      <c r="C45" s="34"/>
      <c r="D45" s="488">
        <f>SUM(D46:D56)</f>
        <v>194.10000000000005</v>
      </c>
      <c r="E45" s="312"/>
      <c r="F45" s="30" t="str">
        <f>IFERROR(VLOOKUP($C45,[20]Nod!$A$3:$E$988,4,FALSE)," ")</f>
        <v xml:space="preserve"> </v>
      </c>
      <c r="G45" s="30" t="str">
        <f>IFERROR(VLOOKUP($C45,[20]Nod!$A$3:$E$988,5,FALSE)," ")</f>
        <v xml:space="preserve"> </v>
      </c>
      <c r="H45" s="309" t="s">
        <v>173</v>
      </c>
      <c r="I45" s="64"/>
      <c r="J45" s="65">
        <v>6240</v>
      </c>
      <c r="K45" s="62">
        <v>61.59</v>
      </c>
      <c r="L45" s="278" t="str">
        <f>VLOOKUP($J45,[20]Nod!$A$3:$E$987,4,FALSE)</f>
        <v>EHIG230</v>
      </c>
      <c r="M45" s="278">
        <f>VLOOKUP($J45,[20]Nod!$A$3:$E$987,5,FALSE)</f>
        <v>6</v>
      </c>
    </row>
    <row r="46" spans="1:13" ht="15" customHeight="1">
      <c r="A46" s="343" t="s">
        <v>174</v>
      </c>
      <c r="B46" s="344" t="s">
        <v>150</v>
      </c>
      <c r="C46" s="349">
        <v>6087</v>
      </c>
      <c r="D46" s="353">
        <v>47.2</v>
      </c>
      <c r="E46" s="351">
        <v>0</v>
      </c>
      <c r="F46" s="30" t="str">
        <f>IFERROR(VLOOKUP($C46,[20]Nod!$A$3:$E$988,4,FALSE)," ")</f>
        <v>CAL115</v>
      </c>
      <c r="G46" s="30">
        <f>IFERROR(VLOOKUP($C46,[20]Nod!$A$3:$E$988,5,FALSE)," ")</f>
        <v>3</v>
      </c>
      <c r="H46" s="66" t="s">
        <v>42</v>
      </c>
      <c r="I46" s="64"/>
      <c r="J46" s="65">
        <v>6005</v>
      </c>
      <c r="K46" s="62">
        <v>232.94</v>
      </c>
      <c r="L46" s="278" t="str">
        <f>VLOOKUP($J46,[20]Nod!$A$3:$E$987,4,FALSE)</f>
        <v>CHO230</v>
      </c>
      <c r="M46" s="278">
        <f>VLOOKUP($J46,[20]Nod!$A$3:$E$987,5,FALSE)</f>
        <v>6</v>
      </c>
    </row>
    <row r="47" spans="1:13" ht="15" customHeight="1">
      <c r="A47" s="343" t="s">
        <v>175</v>
      </c>
      <c r="B47" s="344" t="s">
        <v>150</v>
      </c>
      <c r="C47" s="349">
        <v>6087</v>
      </c>
      <c r="D47" s="353">
        <v>54.8</v>
      </c>
      <c r="E47" s="351">
        <v>0</v>
      </c>
      <c r="F47" s="30" t="str">
        <f>IFERROR(VLOOKUP($C47,[20]Nod!$A$3:$E$988,4,FALSE)," ")</f>
        <v>CAL115</v>
      </c>
      <c r="G47" s="30">
        <f>IFERROR(VLOOKUP($C47,[20]Nod!$A$3:$E$988,5,FALSE)," ")</f>
        <v>3</v>
      </c>
      <c r="H47" s="293" t="s">
        <v>36</v>
      </c>
      <c r="I47" s="64"/>
      <c r="J47" s="65"/>
      <c r="K47" s="65"/>
      <c r="L47" s="278"/>
      <c r="M47" s="278"/>
    </row>
    <row r="48" spans="1:13" ht="15" customHeight="1">
      <c r="A48" s="343" t="s">
        <v>176</v>
      </c>
      <c r="B48" s="344" t="s">
        <v>150</v>
      </c>
      <c r="C48" s="349">
        <v>6087</v>
      </c>
      <c r="D48" s="353">
        <v>19.75</v>
      </c>
      <c r="E48" s="351">
        <v>0</v>
      </c>
      <c r="F48" s="30" t="str">
        <f>IFERROR(VLOOKUP($C48,[20]Nod!$A$3:$E$988,4,FALSE)," ")</f>
        <v>CAL115</v>
      </c>
      <c r="G48" s="30">
        <f>IFERROR(VLOOKUP($C48,[20]Nod!$A$3:$E$988,5,FALSE)," ")</f>
        <v>3</v>
      </c>
      <c r="H48" s="66" t="s">
        <v>37</v>
      </c>
      <c r="I48" s="64"/>
      <c r="J48" s="65">
        <v>6005</v>
      </c>
      <c r="K48" s="62">
        <v>0.32</v>
      </c>
      <c r="L48" s="278" t="str">
        <f>VLOOKUP($J48,[20]Nod!$A$3:$E$987,4,FALSE)</f>
        <v>CHO230</v>
      </c>
      <c r="M48" s="278">
        <f>VLOOKUP($J48,[20]Nod!$A$3:$E$987,5,FALSE)</f>
        <v>6</v>
      </c>
    </row>
    <row r="49" spans="1:13" ht="15" customHeight="1">
      <c r="A49" s="343" t="s">
        <v>177</v>
      </c>
      <c r="B49" s="344" t="s">
        <v>150</v>
      </c>
      <c r="C49" s="349">
        <v>6087</v>
      </c>
      <c r="D49" s="353">
        <v>15.5</v>
      </c>
      <c r="E49" s="351">
        <v>0</v>
      </c>
      <c r="F49" s="30" t="str">
        <f>IFERROR(VLOOKUP($C49,[20]Nod!$A$3:$E$988,4,FALSE)," ")</f>
        <v>CAL115</v>
      </c>
      <c r="G49" s="30">
        <f>IFERROR(VLOOKUP($C49,[20]Nod!$A$3:$E$988,5,FALSE)," ")</f>
        <v>3</v>
      </c>
      <c r="H49" s="66" t="s">
        <v>43</v>
      </c>
      <c r="I49" s="64"/>
      <c r="J49" s="65">
        <v>6005</v>
      </c>
      <c r="K49" s="62">
        <v>0.33</v>
      </c>
      <c r="L49" s="278" t="str">
        <f>VLOOKUP($J49,[20]Nod!$A$3:$E$987,4,FALSE)</f>
        <v>CHO230</v>
      </c>
      <c r="M49" s="278">
        <f>VLOOKUP($J49,[20]Nod!$A$3:$E$987,5,FALSE)</f>
        <v>6</v>
      </c>
    </row>
    <row r="50" spans="1:13" ht="15" customHeight="1">
      <c r="A50" s="343" t="s">
        <v>178</v>
      </c>
      <c r="B50" s="344" t="s">
        <v>150</v>
      </c>
      <c r="C50" s="349">
        <v>6087</v>
      </c>
      <c r="D50" s="353">
        <v>9.73</v>
      </c>
      <c r="E50" s="351">
        <v>0</v>
      </c>
      <c r="F50" s="30" t="str">
        <f>IFERROR(VLOOKUP($C50,[20]Nod!$A$3:$E$988,4,FALSE)," ")</f>
        <v>CAL115</v>
      </c>
      <c r="G50" s="30">
        <f>IFERROR(VLOOKUP($C50,[20]Nod!$A$3:$E$988,5,FALSE)," ")</f>
        <v>3</v>
      </c>
      <c r="H50" s="299" t="s">
        <v>31</v>
      </c>
      <c r="I50" s="300"/>
      <c r="J50" s="302"/>
      <c r="K50" s="302"/>
      <c r="L50" s="278"/>
      <c r="M50" s="278"/>
    </row>
    <row r="51" spans="1:13" ht="15" customHeight="1">
      <c r="A51" s="346" t="s">
        <v>179</v>
      </c>
      <c r="B51" s="344" t="s">
        <v>150</v>
      </c>
      <c r="C51" s="349">
        <v>6087</v>
      </c>
      <c r="D51" s="353">
        <v>7.8</v>
      </c>
      <c r="E51" s="351">
        <v>0</v>
      </c>
      <c r="F51" s="30" t="str">
        <f>IFERROR(VLOOKUP($C51,[20]Nod!$A$3:$E$988,4,FALSE)," ")</f>
        <v>CAL115</v>
      </c>
      <c r="G51" s="30">
        <f>IFERROR(VLOOKUP($C51,[20]Nod!$A$3:$E$988,5,FALSE)," ")</f>
        <v>3</v>
      </c>
      <c r="H51" s="303">
        <v>7</v>
      </c>
      <c r="I51" s="296"/>
      <c r="J51" s="318"/>
      <c r="K51" s="297">
        <f>SUM(K52:K69)</f>
        <v>1084.07</v>
      </c>
      <c r="L51" s="278"/>
      <c r="M51" s="278"/>
    </row>
    <row r="52" spans="1:13" ht="15" customHeight="1">
      <c r="A52" s="346" t="s">
        <v>349</v>
      </c>
      <c r="B52" s="344" t="s">
        <v>156</v>
      </c>
      <c r="C52" s="349">
        <v>6087</v>
      </c>
      <c r="D52" s="521">
        <v>5</v>
      </c>
      <c r="E52" s="351">
        <v>0</v>
      </c>
      <c r="F52" s="30" t="str">
        <f>IFERROR(VLOOKUP($C52,[20]Nod!$A$3:$E$988,4,FALSE)," ")</f>
        <v>CAL115</v>
      </c>
      <c r="G52" s="30">
        <f>IFERROR(VLOOKUP($C52,[20]Nod!$A$3:$E$988,5,FALSE)," ")</f>
        <v>3</v>
      </c>
      <c r="H52" s="293" t="s">
        <v>35</v>
      </c>
      <c r="I52" s="64"/>
      <c r="J52" s="65"/>
      <c r="K52" s="65"/>
      <c r="L52" s="278"/>
      <c r="M52" s="278"/>
    </row>
    <row r="53" spans="1:13" ht="15" customHeight="1">
      <c r="A53" s="346" t="s">
        <v>325</v>
      </c>
      <c r="B53" s="344" t="s">
        <v>156</v>
      </c>
      <c r="C53" s="349">
        <v>6087</v>
      </c>
      <c r="D53" s="353">
        <v>8.58</v>
      </c>
      <c r="E53" s="351">
        <v>0</v>
      </c>
      <c r="F53" s="30" t="str">
        <f>IFERROR(VLOOKUP($C53,[20]Nod!$A$3:$E$988,4,FALSE)," ")</f>
        <v>CAL115</v>
      </c>
      <c r="G53" s="30">
        <f>IFERROR(VLOOKUP($C53,[20]Nod!$A$3:$E$988,5,FALSE)," ")</f>
        <v>3</v>
      </c>
      <c r="H53" s="54" t="s">
        <v>45</v>
      </c>
      <c r="I53" s="64"/>
      <c r="J53" s="65">
        <v>6002</v>
      </c>
      <c r="K53" s="62">
        <v>518.07000000000005</v>
      </c>
      <c r="L53" s="278" t="str">
        <f>VLOOKUP($J53,[20]Nod!$A$3:$E$987,4,FALSE)</f>
        <v>PAN115</v>
      </c>
      <c r="M53" s="278">
        <f>VLOOKUP($J53,[20]Nod!$A$3:$E$987,5,FALSE)</f>
        <v>7</v>
      </c>
    </row>
    <row r="54" spans="1:13" ht="15" customHeight="1">
      <c r="A54" s="346" t="s">
        <v>180</v>
      </c>
      <c r="B54" s="344" t="s">
        <v>156</v>
      </c>
      <c r="C54" s="349">
        <v>6087</v>
      </c>
      <c r="D54" s="353">
        <v>8.58</v>
      </c>
      <c r="E54" s="351">
        <v>0</v>
      </c>
      <c r="F54" s="30" t="str">
        <f>IFERROR(VLOOKUP($C54,[20]Nod!$A$3:$E$988,4,FALSE)," ")</f>
        <v>CAL115</v>
      </c>
      <c r="G54" s="30">
        <f>IFERROR(VLOOKUP($C54,[20]Nod!$A$3:$E$988,5,FALSE)," ")</f>
        <v>3</v>
      </c>
      <c r="H54" s="327" t="s">
        <v>140</v>
      </c>
      <c r="I54" s="64"/>
      <c r="J54" s="65"/>
      <c r="K54" s="62"/>
      <c r="L54" s="278"/>
      <c r="M54" s="278"/>
    </row>
    <row r="55" spans="1:13" ht="15" customHeight="1">
      <c r="A55" s="346" t="s">
        <v>181</v>
      </c>
      <c r="B55" s="344" t="s">
        <v>156</v>
      </c>
      <c r="C55" s="349">
        <v>6087</v>
      </c>
      <c r="D55" s="353">
        <v>8.58</v>
      </c>
      <c r="E55" s="351">
        <v>0</v>
      </c>
      <c r="F55" s="30" t="str">
        <f>IFERROR(VLOOKUP($C55,[20]Nod!$A$3:$E$988,4,FALSE)," ")</f>
        <v>CAL115</v>
      </c>
      <c r="G55" s="30">
        <f>IFERROR(VLOOKUP($C55,[20]Nod!$A$3:$E$988,5,FALSE)," ")</f>
        <v>3</v>
      </c>
      <c r="H55" s="54" t="s">
        <v>49</v>
      </c>
      <c r="I55" s="64"/>
      <c r="J55" s="65">
        <v>6002</v>
      </c>
      <c r="K55" s="62">
        <v>0.37</v>
      </c>
      <c r="L55" s="278" t="str">
        <f>VLOOKUP($J55,[20]Nod!$A$3:$E$987,4,FALSE)</f>
        <v>PAN115</v>
      </c>
      <c r="M55" s="278">
        <f>VLOOKUP($J55,[20]Nod!$A$3:$E$987,5,FALSE)</f>
        <v>7</v>
      </c>
    </row>
    <row r="56" spans="1:13" ht="15" customHeight="1">
      <c r="A56" s="347" t="s">
        <v>182</v>
      </c>
      <c r="B56" s="344" t="s">
        <v>156</v>
      </c>
      <c r="C56" s="349">
        <v>6087</v>
      </c>
      <c r="D56" s="353">
        <v>8.58</v>
      </c>
      <c r="E56" s="351">
        <v>0</v>
      </c>
      <c r="F56" s="30" t="str">
        <f>IFERROR(VLOOKUP($C56,[20]Nod!$A$3:$E$988,4,FALSE)," ")</f>
        <v>CAL115</v>
      </c>
      <c r="G56" s="30">
        <f>IFERROR(VLOOKUP($C56,[20]Nod!$A$3:$E$988,5,FALSE)," ")</f>
        <v>3</v>
      </c>
      <c r="H56" s="54" t="s">
        <v>143</v>
      </c>
      <c r="I56" s="64"/>
      <c r="J56" s="65">
        <v>6002</v>
      </c>
      <c r="K56" s="62">
        <v>1.21</v>
      </c>
      <c r="L56" s="278" t="str">
        <f>VLOOKUP($J56,[20]Nod!$A$3:$E$987,4,FALSE)</f>
        <v>PAN115</v>
      </c>
      <c r="M56" s="278">
        <f>VLOOKUP($J56,[20]Nod!$A$3:$E$987,5,FALSE)</f>
        <v>7</v>
      </c>
    </row>
    <row r="57" spans="1:13" ht="15" customHeight="1">
      <c r="A57" s="50" t="s">
        <v>31</v>
      </c>
      <c r="B57" s="40"/>
      <c r="C57" s="41"/>
      <c r="D57" s="302"/>
      <c r="E57" s="310"/>
      <c r="F57" s="30" t="str">
        <f>IFERROR(VLOOKUP($C57,[20]Nod!$A$3:$E$988,4,FALSE)," ")</f>
        <v xml:space="preserve"> </v>
      </c>
      <c r="G57" s="30" t="str">
        <f>IFERROR(VLOOKUP($C57,[20]Nod!$A$3:$E$988,5,FALSE)," ")</f>
        <v xml:space="preserve"> </v>
      </c>
      <c r="H57" s="54" t="s">
        <v>51</v>
      </c>
      <c r="I57" s="64"/>
      <c r="J57" s="65">
        <v>6002</v>
      </c>
      <c r="K57" s="62">
        <v>0.32</v>
      </c>
      <c r="L57" s="278" t="str">
        <f>VLOOKUP($J57,[20]Nod!$A$3:$E$987,4,FALSE)</f>
        <v>PAN115</v>
      </c>
      <c r="M57" s="278">
        <f>VLOOKUP($J57,[20]Nod!$A$3:$E$987,5,FALSE)</f>
        <v>7</v>
      </c>
    </row>
    <row r="58" spans="1:13" ht="15" customHeight="1">
      <c r="A58" s="45">
        <v>4</v>
      </c>
      <c r="B58" s="42"/>
      <c r="C58" s="43"/>
      <c r="D58" s="488">
        <f>SUM(D59:D115)</f>
        <v>857.84999999999968</v>
      </c>
      <c r="E58" s="294"/>
      <c r="F58" s="30" t="str">
        <f>IFERROR(VLOOKUP($C58,[20]Nod!$A$3:$E$988,4,FALSE)," ")</f>
        <v xml:space="preserve"> </v>
      </c>
      <c r="G58" s="30" t="str">
        <f>IFERROR(VLOOKUP($C58,[20]Nod!$A$3:$E$988,5,FALSE)," ")</f>
        <v xml:space="preserve"> </v>
      </c>
      <c r="H58" s="54" t="s">
        <v>52</v>
      </c>
      <c r="I58" s="64"/>
      <c r="J58" s="65">
        <v>6002</v>
      </c>
      <c r="K58" s="62"/>
      <c r="L58" s="278" t="str">
        <f>VLOOKUP($J58,[20]Nod!$A$3:$E$987,4,FALSE)</f>
        <v>PAN115</v>
      </c>
      <c r="M58" s="278">
        <f>VLOOKUP($J58,[20]Nod!$A$3:$E$987,5,FALSE)</f>
        <v>7</v>
      </c>
    </row>
    <row r="59" spans="1:13" ht="15" customHeight="1">
      <c r="A59" s="343" t="s">
        <v>183</v>
      </c>
      <c r="B59" s="344" t="s">
        <v>150</v>
      </c>
      <c r="C59" s="349">
        <v>6380</v>
      </c>
      <c r="D59" s="353">
        <v>10</v>
      </c>
      <c r="E59" s="351">
        <v>0</v>
      </c>
      <c r="F59" s="30" t="str">
        <f>IFERROR(VLOOKUP($C59,[20]Nod!$A$3:$E$988,4,FALSE)," ")</f>
        <v>BOQIII230</v>
      </c>
      <c r="G59" s="30">
        <f>IFERROR(VLOOKUP($C59,[20]Nod!$A$3:$E$988,5,FALSE)," ")</f>
        <v>4</v>
      </c>
      <c r="H59" s="326" t="s">
        <v>37</v>
      </c>
      <c r="I59" s="64"/>
      <c r="J59" s="65">
        <v>6002</v>
      </c>
      <c r="K59" s="62">
        <v>1.33</v>
      </c>
      <c r="L59" s="278" t="str">
        <f>VLOOKUP($J59,[20]Nod!$A$3:$E$987,4,FALSE)</f>
        <v>PAN115</v>
      </c>
      <c r="M59" s="278">
        <f>VLOOKUP($J59,[20]Nod!$A$3:$E$987,5,FALSE)</f>
        <v>7</v>
      </c>
    </row>
    <row r="60" spans="1:13" ht="15" customHeight="1">
      <c r="A60" s="343" t="s">
        <v>326</v>
      </c>
      <c r="B60" s="344" t="s">
        <v>150</v>
      </c>
      <c r="C60" s="349">
        <v>6380</v>
      </c>
      <c r="D60" s="353">
        <v>5.8</v>
      </c>
      <c r="E60" s="351">
        <v>0</v>
      </c>
      <c r="F60" s="30" t="str">
        <f>IFERROR(VLOOKUP($C60,[20]Nod!$A$3:$E$988,4,FALSE)," ")</f>
        <v>BOQIII230</v>
      </c>
      <c r="G60" s="30">
        <f>IFERROR(VLOOKUP($C60,[20]Nod!$A$3:$E$988,5,FALSE)," ")</f>
        <v>4</v>
      </c>
      <c r="H60" s="328"/>
      <c r="I60" s="64"/>
      <c r="J60" s="65"/>
      <c r="K60" s="62"/>
      <c r="L60" s="278"/>
      <c r="M60" s="278"/>
    </row>
    <row r="61" spans="1:13" ht="15" customHeight="1">
      <c r="A61" s="343" t="s">
        <v>185</v>
      </c>
      <c r="B61" s="344" t="s">
        <v>150</v>
      </c>
      <c r="C61" s="349">
        <v>6013</v>
      </c>
      <c r="D61" s="353">
        <v>6</v>
      </c>
      <c r="E61" s="351">
        <v>0</v>
      </c>
      <c r="F61" s="30" t="str">
        <f>IFERROR(VLOOKUP($C61,[20]Nod!$A$3:$E$988,4,FALSE)," ")</f>
        <v>MDN34</v>
      </c>
      <c r="G61" s="30">
        <f>IFERROR(VLOOKUP($C61,[20]Nod!$A$3:$E$988,5,FALSE)," ")</f>
        <v>4</v>
      </c>
      <c r="H61" s="327" t="s">
        <v>44</v>
      </c>
      <c r="I61" s="64"/>
      <c r="J61" s="65"/>
      <c r="K61" s="62"/>
      <c r="L61" s="278"/>
      <c r="M61" s="278"/>
    </row>
    <row r="62" spans="1:13" ht="15" customHeight="1">
      <c r="A62" s="343" t="s">
        <v>186</v>
      </c>
      <c r="B62" s="344" t="s">
        <v>150</v>
      </c>
      <c r="C62" s="349">
        <v>6013</v>
      </c>
      <c r="D62" s="521"/>
      <c r="E62" s="351">
        <v>0</v>
      </c>
      <c r="F62" s="30" t="str">
        <f>IFERROR(VLOOKUP($C62,[20]Nod!$A$3:$E$988,4,FALSE)," ")</f>
        <v>MDN34</v>
      </c>
      <c r="G62" s="30">
        <f>IFERROR(VLOOKUP($C62,[20]Nod!$A$3:$E$988,5,FALSE)," ")</f>
        <v>4</v>
      </c>
      <c r="H62" s="54" t="s">
        <v>45</v>
      </c>
      <c r="I62" s="64"/>
      <c r="J62" s="65">
        <v>6002</v>
      </c>
      <c r="K62" s="62">
        <v>211.8</v>
      </c>
      <c r="L62" s="278" t="str">
        <f>VLOOKUP($J62,[20]Nod!$A$3:$E$987,4,FALSE)</f>
        <v>PAN115</v>
      </c>
      <c r="M62" s="278">
        <f>VLOOKUP($J62,[20]Nod!$A$3:$E$987,5,FALSE)</f>
        <v>7</v>
      </c>
    </row>
    <row r="63" spans="1:13" ht="15" customHeight="1">
      <c r="A63" s="343" t="s">
        <v>187</v>
      </c>
      <c r="B63" s="344" t="s">
        <v>150</v>
      </c>
      <c r="C63" s="349">
        <v>6380</v>
      </c>
      <c r="D63" s="353">
        <v>20.100000000000001</v>
      </c>
      <c r="E63" s="351">
        <v>0</v>
      </c>
      <c r="F63" s="30" t="str">
        <f>IFERROR(VLOOKUP($C63,[20]Nod!$A$3:$E$988,4,FALSE)," ")</f>
        <v>BOQIII230</v>
      </c>
      <c r="G63" s="30">
        <f>IFERROR(VLOOKUP($C63,[20]Nod!$A$3:$E$988,5,FALSE)," ")</f>
        <v>4</v>
      </c>
      <c r="H63" s="54" t="s">
        <v>46</v>
      </c>
      <c r="I63" s="64"/>
      <c r="J63" s="65">
        <v>6002</v>
      </c>
      <c r="K63" s="62">
        <v>280.89999999999998</v>
      </c>
      <c r="L63" s="278" t="str">
        <f>VLOOKUP($J63,[20]Nod!$A$3:$E$987,4,FALSE)</f>
        <v>PAN115</v>
      </c>
      <c r="M63" s="278">
        <f>VLOOKUP($J63,[20]Nod!$A$3:$E$987,5,FALSE)</f>
        <v>7</v>
      </c>
    </row>
    <row r="64" spans="1:13" ht="15" customHeight="1">
      <c r="A64" s="343" t="s">
        <v>188</v>
      </c>
      <c r="B64" s="344" t="s">
        <v>150</v>
      </c>
      <c r="C64" s="349">
        <v>6380</v>
      </c>
      <c r="D64" s="353">
        <v>12.52</v>
      </c>
      <c r="E64" s="351">
        <v>0</v>
      </c>
      <c r="F64" s="30" t="str">
        <f>IFERROR(VLOOKUP($C64,[20]Nod!$A$3:$E$988,4,FALSE)," ")</f>
        <v>BOQIII230</v>
      </c>
      <c r="G64" s="30">
        <f>IFERROR(VLOOKUP($C64,[20]Nod!$A$3:$E$988,5,FALSE)," ")</f>
        <v>4</v>
      </c>
      <c r="H64" s="54" t="s">
        <v>47</v>
      </c>
      <c r="I64" s="64"/>
      <c r="J64" s="65">
        <v>6470</v>
      </c>
      <c r="K64" s="62">
        <v>44.5</v>
      </c>
      <c r="L64" s="278" t="str">
        <f>VLOOKUP($J64,[20]Nod!$A$3:$E$987,4,FALSE)</f>
        <v>24DIC230</v>
      </c>
      <c r="M64" s="278">
        <f>VLOOKUP($J64,[20]Nod!$A$3:$E$987,5,FALSE)</f>
        <v>7</v>
      </c>
    </row>
    <row r="65" spans="1:13" ht="15" customHeight="1">
      <c r="A65" s="343" t="s">
        <v>189</v>
      </c>
      <c r="B65" s="344" t="s">
        <v>150</v>
      </c>
      <c r="C65" s="349">
        <v>6380</v>
      </c>
      <c r="D65" s="353">
        <v>14</v>
      </c>
      <c r="E65" s="351">
        <v>0</v>
      </c>
      <c r="F65" s="30" t="str">
        <f>IFERROR(VLOOKUP($C65,[20]Nod!$A$3:$E$988,4,FALSE)," ")</f>
        <v>BOQIII230</v>
      </c>
      <c r="G65" s="30">
        <f>IFERROR(VLOOKUP($C65,[20]Nod!$A$3:$E$988,5,FALSE)," ")</f>
        <v>4</v>
      </c>
      <c r="H65" s="327" t="s">
        <v>139</v>
      </c>
      <c r="I65" s="64"/>
      <c r="J65" s="65"/>
      <c r="K65" s="62"/>
      <c r="L65" s="278"/>
      <c r="M65" s="278"/>
    </row>
    <row r="66" spans="1:13" ht="15" customHeight="1">
      <c r="A66" s="343" t="s">
        <v>190</v>
      </c>
      <c r="B66" s="344" t="s">
        <v>150</v>
      </c>
      <c r="C66" s="467">
        <v>6013</v>
      </c>
      <c r="D66" s="522"/>
      <c r="E66" s="351">
        <v>0</v>
      </c>
      <c r="F66" s="30" t="str">
        <f>IFERROR(VLOOKUP($C66,[20]Nod!$A$3:$E$988,4,FALSE)," ")</f>
        <v>MDN34</v>
      </c>
      <c r="G66" s="30">
        <f>IFERROR(VLOOKUP($C66,[20]Nod!$A$3:$E$988,5,FALSE)," ")</f>
        <v>4</v>
      </c>
      <c r="H66" s="54" t="s">
        <v>48</v>
      </c>
      <c r="I66" s="64"/>
      <c r="J66" s="65">
        <v>6024</v>
      </c>
      <c r="K66" s="62">
        <v>22.59</v>
      </c>
      <c r="L66" s="278" t="str">
        <f>VLOOKUP($J66,[20]Nod!$A$3:$E$987,4,FALSE)</f>
        <v>CHI115</v>
      </c>
      <c r="M66" s="278">
        <f>VLOOKUP($J66,[20]Nod!$A$3:$E$987,5,FALSE)</f>
        <v>7</v>
      </c>
    </row>
    <row r="67" spans="1:13" ht="15" customHeight="1">
      <c r="A67" s="343" t="s">
        <v>191</v>
      </c>
      <c r="B67" s="344" t="s">
        <v>150</v>
      </c>
      <c r="C67" s="467">
        <v>6013</v>
      </c>
      <c r="D67" s="521"/>
      <c r="E67" s="351">
        <v>0</v>
      </c>
      <c r="F67" s="30" t="str">
        <f>IFERROR(VLOOKUP($C67,[20]Nod!$A$3:$E$988,4,FALSE)," ")</f>
        <v>MDN34</v>
      </c>
      <c r="G67" s="30">
        <f>IFERROR(VLOOKUP($C67,[20]Nod!$A$3:$E$988,5,FALSE)," ")</f>
        <v>4</v>
      </c>
      <c r="H67" s="54" t="s">
        <v>50</v>
      </c>
      <c r="I67" s="64"/>
      <c r="J67" s="65">
        <v>6002</v>
      </c>
      <c r="K67" s="62">
        <v>0.19</v>
      </c>
      <c r="L67" s="278" t="str">
        <f>VLOOKUP($J67,[20]Nod!$A$3:$E$987,4,FALSE)</f>
        <v>PAN115</v>
      </c>
      <c r="M67" s="278">
        <f>VLOOKUP($J67,[20]Nod!$A$3:$E$987,5,FALSE)</f>
        <v>7</v>
      </c>
    </row>
    <row r="68" spans="1:13" ht="15" customHeight="1">
      <c r="A68" s="343" t="s">
        <v>192</v>
      </c>
      <c r="B68" s="344" t="s">
        <v>150</v>
      </c>
      <c r="C68" s="349">
        <v>6380</v>
      </c>
      <c r="D68" s="353">
        <v>10</v>
      </c>
      <c r="E68" s="351">
        <v>0</v>
      </c>
      <c r="F68" s="30" t="str">
        <f>IFERROR(VLOOKUP($C68,[20]Nod!$A$3:$E$988,4,FALSE)," ")</f>
        <v>BOQIII230</v>
      </c>
      <c r="G68" s="30">
        <f>IFERROR(VLOOKUP($C68,[20]Nod!$A$3:$E$988,5,FALSE)," ")</f>
        <v>4</v>
      </c>
      <c r="H68" s="54" t="s">
        <v>53</v>
      </c>
      <c r="I68" s="64"/>
      <c r="J68" s="65">
        <v>6002</v>
      </c>
      <c r="K68" s="62"/>
      <c r="L68" s="278" t="str">
        <f>VLOOKUP($J68,[20]Nod!$A$3:$E$987,4,FALSE)</f>
        <v>PAN115</v>
      </c>
      <c r="M68" s="278">
        <f>VLOOKUP($J68,[20]Nod!$A$3:$E$987,5,FALSE)</f>
        <v>7</v>
      </c>
    </row>
    <row r="69" spans="1:13" ht="15" customHeight="1">
      <c r="A69" s="343" t="s">
        <v>193</v>
      </c>
      <c r="B69" s="344" t="s">
        <v>150</v>
      </c>
      <c r="C69" s="349">
        <v>6380</v>
      </c>
      <c r="D69" s="353">
        <v>10</v>
      </c>
      <c r="E69" s="351">
        <v>0</v>
      </c>
      <c r="F69" s="30" t="str">
        <f>IFERROR(VLOOKUP($C69,[20]Nod!$A$3:$E$988,4,FALSE)," ")</f>
        <v>BOQIII230</v>
      </c>
      <c r="G69" s="30">
        <f>IFERROR(VLOOKUP($C69,[20]Nod!$A$3:$E$988,5,FALSE)," ")</f>
        <v>4</v>
      </c>
      <c r="H69" s="326" t="s">
        <v>37</v>
      </c>
      <c r="I69" s="64"/>
      <c r="J69" s="65">
        <v>6002</v>
      </c>
      <c r="K69" s="62">
        <v>2.79</v>
      </c>
      <c r="L69" s="278" t="str">
        <f>VLOOKUP($J69,[20]Nod!$A$3:$E$987,4,FALSE)</f>
        <v>PAN115</v>
      </c>
      <c r="M69" s="278">
        <f>VLOOKUP($J69,[20]Nod!$A$3:$E$987,5,FALSE)</f>
        <v>7</v>
      </c>
    </row>
    <row r="70" spans="1:13" ht="15" customHeight="1">
      <c r="A70" s="343" t="s">
        <v>194</v>
      </c>
      <c r="B70" s="344" t="s">
        <v>150</v>
      </c>
      <c r="C70" s="349">
        <v>6013</v>
      </c>
      <c r="D70" s="353">
        <v>51.65</v>
      </c>
      <c r="E70" s="351">
        <v>0</v>
      </c>
      <c r="F70" s="30" t="str">
        <f>IFERROR(VLOOKUP($C70,[20]Nod!$A$3:$E$988,4,FALSE)," ")</f>
        <v>MDN34</v>
      </c>
      <c r="G70" s="30">
        <f>IFERROR(VLOOKUP($C70,[20]Nod!$A$3:$E$988,5,FALSE)," ")</f>
        <v>4</v>
      </c>
      <c r="H70" s="299" t="s">
        <v>31</v>
      </c>
      <c r="I70" s="300"/>
      <c r="J70" s="302"/>
      <c r="K70" s="302"/>
      <c r="L70" s="278"/>
      <c r="M70" s="278"/>
    </row>
    <row r="71" spans="1:13" ht="15" customHeight="1">
      <c r="A71" s="343" t="s">
        <v>195</v>
      </c>
      <c r="B71" s="344" t="s">
        <v>150</v>
      </c>
      <c r="C71" s="349">
        <v>6182</v>
      </c>
      <c r="D71" s="353">
        <v>32.6</v>
      </c>
      <c r="E71" s="351">
        <v>0</v>
      </c>
      <c r="F71" s="30" t="str">
        <f>IFERROR(VLOOKUP($C71,[20]Nod!$A$3:$E$988,4,FALSE)," ")</f>
        <v>VEL230</v>
      </c>
      <c r="G71" s="30">
        <f>IFERROR(VLOOKUP($C71,[20]Nod!$A$3:$E$988,5,FALSE)," ")</f>
        <v>4</v>
      </c>
      <c r="H71" s="303">
        <v>8</v>
      </c>
      <c r="I71" s="296"/>
      <c r="J71" s="319"/>
      <c r="K71" s="297">
        <f>SUM(K72:K74)</f>
        <v>1.9</v>
      </c>
      <c r="L71" s="278"/>
      <c r="M71" s="278"/>
    </row>
    <row r="72" spans="1:13" ht="15" customHeight="1">
      <c r="A72" s="343" t="s">
        <v>196</v>
      </c>
      <c r="B72" s="344" t="s">
        <v>150</v>
      </c>
      <c r="C72" s="349">
        <v>6182</v>
      </c>
      <c r="D72" s="353">
        <v>5.12</v>
      </c>
      <c r="E72" s="351">
        <v>0</v>
      </c>
      <c r="F72" s="30" t="str">
        <f>IFERROR(VLOOKUP($C72,[20]Nod!$A$3:$E$988,4,FALSE)," ")</f>
        <v>VEL230</v>
      </c>
      <c r="G72" s="30">
        <f>IFERROR(VLOOKUP($C72,[20]Nod!$A$3:$E$988,5,FALSE)," ")</f>
        <v>4</v>
      </c>
      <c r="H72" s="293" t="s">
        <v>44</v>
      </c>
      <c r="I72" s="64"/>
      <c r="J72" s="65"/>
      <c r="K72" s="65"/>
      <c r="L72" s="278"/>
      <c r="M72" s="278"/>
    </row>
    <row r="73" spans="1:13" ht="15" customHeight="1">
      <c r="A73" s="343" t="s">
        <v>197</v>
      </c>
      <c r="B73" s="344" t="s">
        <v>150</v>
      </c>
      <c r="C73" s="349">
        <v>6380</v>
      </c>
      <c r="D73" s="353">
        <v>5.86</v>
      </c>
      <c r="E73" s="351">
        <v>0</v>
      </c>
      <c r="F73" s="30" t="str">
        <f>IFERROR(VLOOKUP($C73,[20]Nod!$A$3:$E$988,4,FALSE)," ")</f>
        <v>BOQIII230</v>
      </c>
      <c r="G73" s="30">
        <f>IFERROR(VLOOKUP($C73,[20]Nod!$A$3:$E$988,5,FALSE)," ")</f>
        <v>4</v>
      </c>
      <c r="H73" s="325" t="s">
        <v>54</v>
      </c>
      <c r="I73" s="64"/>
      <c r="J73" s="65">
        <v>6100</v>
      </c>
      <c r="K73" s="324">
        <v>1.9</v>
      </c>
      <c r="L73" s="278" t="str">
        <f>VLOOKUP($J73,[20]Nod!$A$3:$E$987,4,FALSE)</f>
        <v>BAY230</v>
      </c>
      <c r="M73" s="278">
        <f>VLOOKUP($J73,[20]Nod!$A$3:$E$987,5,FALSE)</f>
        <v>8</v>
      </c>
    </row>
    <row r="74" spans="1:13" ht="15" customHeight="1">
      <c r="A74" s="343" t="s">
        <v>198</v>
      </c>
      <c r="B74" s="344" t="s">
        <v>150</v>
      </c>
      <c r="C74" s="349">
        <v>6380</v>
      </c>
      <c r="D74" s="353">
        <v>73.180000000000007</v>
      </c>
      <c r="E74" s="351">
        <v>0</v>
      </c>
      <c r="F74" s="30" t="str">
        <f>IFERROR(VLOOKUP($C74,[20]Nod!$A$3:$E$988,4,FALSE)," ")</f>
        <v>BOQIII230</v>
      </c>
      <c r="G74" s="30">
        <f>IFERROR(VLOOKUP($C74,[20]Nod!$A$3:$E$988,5,FALSE)," ")</f>
        <v>4</v>
      </c>
      <c r="H74" s="299" t="s">
        <v>31</v>
      </c>
      <c r="I74" s="300"/>
      <c r="J74" s="302"/>
      <c r="K74" s="302"/>
      <c r="L74" s="278"/>
      <c r="M74" s="278"/>
    </row>
    <row r="75" spans="1:13" ht="15" customHeight="1">
      <c r="A75" s="343" t="s">
        <v>199</v>
      </c>
      <c r="B75" s="344" t="s">
        <v>150</v>
      </c>
      <c r="C75" s="349">
        <v>6182</v>
      </c>
      <c r="D75" s="353">
        <v>6.3</v>
      </c>
      <c r="E75" s="351">
        <v>0</v>
      </c>
      <c r="F75" s="30" t="str">
        <f>IFERROR(VLOOKUP($C75,[20]Nod!$A$3:$E$988,4,FALSE)," ")</f>
        <v>VEL230</v>
      </c>
      <c r="G75" s="30">
        <f>IFERROR(VLOOKUP($C75,[20]Nod!$A$3:$E$988,5,FALSE)," ")</f>
        <v>4</v>
      </c>
      <c r="H75" s="303">
        <v>9</v>
      </c>
      <c r="I75" s="296"/>
      <c r="J75" s="318"/>
      <c r="K75" s="297">
        <f>SUM(K76:K81)</f>
        <v>158.94999999999999</v>
      </c>
      <c r="L75" s="278"/>
      <c r="M75" s="278"/>
    </row>
    <row r="76" spans="1:13" ht="15" customHeight="1">
      <c r="A76" s="343" t="s">
        <v>200</v>
      </c>
      <c r="B76" s="344" t="s">
        <v>150</v>
      </c>
      <c r="C76" s="470">
        <v>6380</v>
      </c>
      <c r="D76" s="353">
        <v>8.89</v>
      </c>
      <c r="E76" s="471">
        <v>0</v>
      </c>
      <c r="F76" s="30" t="str">
        <f>IFERROR(VLOOKUP($C76,[20]Nod!$A$3:$E$988,4,FALSE)," ")</f>
        <v>BOQIII230</v>
      </c>
      <c r="G76" s="30">
        <f>IFERROR(VLOOKUP($C76,[20]Nod!$A$3:$E$988,5,FALSE)," ")</f>
        <v>4</v>
      </c>
      <c r="H76" s="293" t="s">
        <v>44</v>
      </c>
      <c r="I76" s="64"/>
      <c r="J76" s="65"/>
      <c r="K76" s="65"/>
      <c r="L76" s="278"/>
      <c r="M76" s="278"/>
    </row>
    <row r="77" spans="1:13" ht="15" customHeight="1">
      <c r="A77" s="343" t="s">
        <v>201</v>
      </c>
      <c r="B77" s="344" t="s">
        <v>156</v>
      </c>
      <c r="C77" s="470">
        <v>6013</v>
      </c>
      <c r="D77" s="353">
        <v>9</v>
      </c>
      <c r="E77" s="471">
        <v>0</v>
      </c>
      <c r="F77" s="30" t="str">
        <f>IFERROR(VLOOKUP($C77,[20]Nod!$A$3:$E$988,4,FALSE)," ")</f>
        <v>MDN34</v>
      </c>
      <c r="G77" s="30">
        <f>IFERROR(VLOOKUP($C77,[20]Nod!$A$3:$E$988,5,FALSE)," ")</f>
        <v>4</v>
      </c>
      <c r="H77" s="66" t="s">
        <v>55</v>
      </c>
      <c r="I77" s="64"/>
      <c r="J77" s="65">
        <v>6059</v>
      </c>
      <c r="K77" s="62">
        <v>151</v>
      </c>
      <c r="L77" s="278" t="str">
        <f>VLOOKUP($J77,[20]Nod!$A$3:$E$987,4,FALSE)</f>
        <v>LM1115</v>
      </c>
      <c r="M77" s="278">
        <f>VLOOKUP($J77,[20]Nod!$A$3:$E$987,5,FALSE)</f>
        <v>9</v>
      </c>
    </row>
    <row r="78" spans="1:13" ht="15" customHeight="1">
      <c r="A78" s="343" t="s">
        <v>202</v>
      </c>
      <c r="B78" s="344" t="s">
        <v>150</v>
      </c>
      <c r="C78" s="467">
        <v>6013</v>
      </c>
      <c r="D78" s="353">
        <v>19.8</v>
      </c>
      <c r="E78" s="351">
        <v>0</v>
      </c>
      <c r="F78" s="30" t="str">
        <f>IFERROR(VLOOKUP($C78,[20]Nod!$A$3:$E$988,4,FALSE)," ")</f>
        <v>MDN34</v>
      </c>
      <c r="G78" s="30">
        <f>IFERROR(VLOOKUP($C78,[20]Nod!$A$3:$E$988,5,FALSE)," ")</f>
        <v>4</v>
      </c>
      <c r="H78" s="293" t="s">
        <v>36</v>
      </c>
      <c r="I78" s="64"/>
      <c r="J78" s="65"/>
      <c r="K78" s="65"/>
      <c r="L78" s="278"/>
      <c r="M78" s="278"/>
    </row>
    <row r="79" spans="1:13" ht="15" customHeight="1">
      <c r="A79" s="343" t="s">
        <v>203</v>
      </c>
      <c r="B79" s="344" t="s">
        <v>156</v>
      </c>
      <c r="C79" s="467">
        <v>6520</v>
      </c>
      <c r="D79" s="521"/>
      <c r="E79" s="351">
        <v>0</v>
      </c>
      <c r="F79" s="30" t="str">
        <f>IFERROR(VLOOKUP($C79,[20]Nod!$A$3:$E$988,4,FALSE)," ")</f>
        <v>SBA230</v>
      </c>
      <c r="G79" s="30">
        <f>IFERROR(VLOOKUP($C79,[20]Nod!$A$3:$E$988,5,FALSE)," ")</f>
        <v>4</v>
      </c>
      <c r="H79" s="66" t="s">
        <v>56</v>
      </c>
      <c r="I79" s="64"/>
      <c r="J79" s="65">
        <v>6170</v>
      </c>
      <c r="K79" s="62">
        <v>7.25</v>
      </c>
      <c r="L79" s="278" t="str">
        <f>VLOOKUP($J79,[20]Nod!$A$3:$E$987,4,FALSE)</f>
        <v>CPA115</v>
      </c>
      <c r="M79" s="278">
        <f>VLOOKUP($J79,[20]Nod!$A$3:$E$987,5,FALSE)</f>
        <v>9</v>
      </c>
    </row>
    <row r="80" spans="1:13" ht="15" customHeight="1">
      <c r="A80" s="343" t="s">
        <v>204</v>
      </c>
      <c r="B80" s="344" t="s">
        <v>150</v>
      </c>
      <c r="C80" s="467">
        <v>6550</v>
      </c>
      <c r="D80" s="353">
        <v>7.62</v>
      </c>
      <c r="E80" s="351">
        <v>0</v>
      </c>
      <c r="F80" s="30" t="str">
        <f>IFERROR(VLOOKUP($C80,[20]Nod!$A$3:$E$988,4,FALSE)," ")</f>
        <v>BEV230</v>
      </c>
      <c r="G80" s="30">
        <f>IFERROR(VLOOKUP($C80,[20]Nod!$A$3:$E$988,5,FALSE)," ")</f>
        <v>4</v>
      </c>
      <c r="H80" s="66" t="s">
        <v>37</v>
      </c>
      <c r="I80" s="64"/>
      <c r="J80" s="65">
        <v>6059</v>
      </c>
      <c r="K80" s="62">
        <v>0.7</v>
      </c>
      <c r="L80" s="278" t="str">
        <f>VLOOKUP($J80,[20]Nod!$A$3:$E$987,4,FALSE)</f>
        <v>LM1115</v>
      </c>
      <c r="M80" s="278">
        <f>VLOOKUP($J80,[20]Nod!$A$3:$E$987,5,FALSE)</f>
        <v>9</v>
      </c>
    </row>
    <row r="81" spans="1:13" ht="15" customHeight="1">
      <c r="A81" s="343" t="s">
        <v>205</v>
      </c>
      <c r="B81" s="344" t="s">
        <v>156</v>
      </c>
      <c r="C81" s="349">
        <v>6380</v>
      </c>
      <c r="D81" s="353">
        <v>10</v>
      </c>
      <c r="E81" s="351">
        <v>0</v>
      </c>
      <c r="F81" s="30" t="str">
        <f>IFERROR(VLOOKUP($C81,[20]Nod!$A$3:$E$988,4,FALSE)," ")</f>
        <v>BOQIII230</v>
      </c>
      <c r="G81" s="30">
        <f>IFERROR(VLOOKUP($C81,[20]Nod!$A$3:$E$988,5,FALSE)," ")</f>
        <v>4</v>
      </c>
      <c r="H81" s="299" t="s">
        <v>31</v>
      </c>
      <c r="I81" s="300"/>
      <c r="J81" s="302"/>
      <c r="K81" s="302"/>
      <c r="L81" s="278"/>
      <c r="M81" s="278"/>
    </row>
    <row r="82" spans="1:13" ht="15" customHeight="1">
      <c r="A82" s="343" t="s">
        <v>206</v>
      </c>
      <c r="B82" s="344" t="s">
        <v>156</v>
      </c>
      <c r="C82" s="349">
        <v>6380</v>
      </c>
      <c r="D82" s="353">
        <v>10</v>
      </c>
      <c r="E82" s="351">
        <v>0</v>
      </c>
      <c r="F82" s="30" t="str">
        <f>IFERROR(VLOOKUP($C82,[20]Nod!$A$3:$E$988,4,FALSE)," ")</f>
        <v>BOQIII230</v>
      </c>
      <c r="G82" s="30">
        <f>IFERROR(VLOOKUP($C82,[20]Nod!$A$3:$E$988,5,FALSE)," ")</f>
        <v>4</v>
      </c>
      <c r="H82" s="305">
        <v>10</v>
      </c>
      <c r="I82" s="306"/>
      <c r="J82" s="317"/>
      <c r="K82" s="297">
        <f>SUM(K83:K85)</f>
        <v>58.54</v>
      </c>
      <c r="L82" s="278"/>
      <c r="M82" s="278"/>
    </row>
    <row r="83" spans="1:13" ht="15" customHeight="1">
      <c r="A83" s="343" t="s">
        <v>207</v>
      </c>
      <c r="B83" s="344" t="s">
        <v>156</v>
      </c>
      <c r="C83" s="349">
        <v>6380</v>
      </c>
      <c r="D83" s="353">
        <v>10</v>
      </c>
      <c r="E83" s="351">
        <v>0</v>
      </c>
      <c r="F83" s="30" t="str">
        <f>IFERROR(VLOOKUP($C83,[20]Nod!$A$3:$E$988,4,FALSE)," ")</f>
        <v>BOQIII230</v>
      </c>
      <c r="G83" s="30">
        <f>IFERROR(VLOOKUP($C83,[20]Nod!$A$3:$E$988,5,FALSE)," ")</f>
        <v>4</v>
      </c>
      <c r="H83" s="293" t="s">
        <v>28</v>
      </c>
      <c r="I83" s="64"/>
      <c r="J83" s="65"/>
      <c r="K83" s="65"/>
      <c r="L83" s="278"/>
      <c r="M83" s="278"/>
    </row>
    <row r="84" spans="1:13" ht="15" customHeight="1">
      <c r="A84" s="343" t="s">
        <v>208</v>
      </c>
      <c r="B84" s="344" t="s">
        <v>156</v>
      </c>
      <c r="C84" s="349">
        <v>6380</v>
      </c>
      <c r="D84" s="353">
        <v>10</v>
      </c>
      <c r="E84" s="351">
        <v>0</v>
      </c>
      <c r="F84" s="30" t="str">
        <f>IFERROR(VLOOKUP($C84,[20]Nod!$A$3:$E$988,4,FALSE)," ")</f>
        <v>BOQIII230</v>
      </c>
      <c r="G84" s="30">
        <f>IFERROR(VLOOKUP($C84,[20]Nod!$A$3:$E$988,5,FALSE)," ")</f>
        <v>4</v>
      </c>
      <c r="H84" s="66" t="s">
        <v>141</v>
      </c>
      <c r="I84" s="64"/>
      <c r="J84" s="65">
        <v>6340</v>
      </c>
      <c r="K84" s="62">
        <v>31.56</v>
      </c>
      <c r="L84" s="278" t="str">
        <f>VLOOKUP($J84,[20]Nod!$A$3:$E$987,4,FALSE)</f>
        <v>CAN230</v>
      </c>
      <c r="M84" s="278">
        <f>VLOOKUP($J84,[20]Nod!$A$3:$E$987,5,FALSE)</f>
        <v>10</v>
      </c>
    </row>
    <row r="85" spans="1:13" ht="15" customHeight="1">
      <c r="A85" s="343" t="s">
        <v>209</v>
      </c>
      <c r="B85" s="344" t="s">
        <v>156</v>
      </c>
      <c r="C85" s="470">
        <v>6380</v>
      </c>
      <c r="D85" s="353">
        <v>9.9600000000000009</v>
      </c>
      <c r="E85" s="351">
        <v>0</v>
      </c>
      <c r="F85" s="30" t="str">
        <f>IFERROR(VLOOKUP($C85,[20]Nod!$A$3:$E$988,4,FALSE)," ")</f>
        <v>BOQIII230</v>
      </c>
      <c r="G85" s="30">
        <f>IFERROR(VLOOKUP($C85,[20]Nod!$A$3:$E$988,5,FALSE)," ")</f>
        <v>4</v>
      </c>
      <c r="H85" s="66" t="s">
        <v>57</v>
      </c>
      <c r="I85" s="64"/>
      <c r="J85" s="65">
        <v>6340</v>
      </c>
      <c r="K85" s="62">
        <v>26.98</v>
      </c>
      <c r="L85" s="278" t="str">
        <f>VLOOKUP($J85,[20]Nod!$A$3:$E$987,4,FALSE)</f>
        <v>CAN230</v>
      </c>
      <c r="M85" s="278">
        <f>VLOOKUP($J85,[20]Nod!$A$3:$E$987,5,FALSE)</f>
        <v>10</v>
      </c>
    </row>
    <row r="86" spans="1:13" ht="15" customHeight="1">
      <c r="A86" s="343" t="s">
        <v>210</v>
      </c>
      <c r="B86" s="344" t="s">
        <v>156</v>
      </c>
      <c r="C86" s="470">
        <v>6380</v>
      </c>
      <c r="D86" s="353">
        <v>9.9600000000000009</v>
      </c>
      <c r="E86" s="351">
        <v>0</v>
      </c>
      <c r="F86" s="30" t="str">
        <f>IFERROR(VLOOKUP($C86,[20]Nod!$A$3:$E$988,4,FALSE)," ")</f>
        <v>BOQIII230</v>
      </c>
      <c r="G86" s="30">
        <f>IFERROR(VLOOKUP($C86,[20]Nod!$A$3:$E$988,5,FALSE)," ")</f>
        <v>4</v>
      </c>
      <c r="H86" s="299" t="s">
        <v>31</v>
      </c>
      <c r="I86" s="300"/>
      <c r="J86" s="301"/>
      <c r="K86" s="302"/>
      <c r="L86" s="278"/>
      <c r="M86" s="278"/>
    </row>
    <row r="87" spans="1:13" ht="15" customHeight="1">
      <c r="A87" s="343" t="s">
        <v>327</v>
      </c>
      <c r="B87" s="344" t="s">
        <v>156</v>
      </c>
      <c r="C87" s="470">
        <v>6013</v>
      </c>
      <c r="D87" s="521">
        <v>4.75</v>
      </c>
      <c r="E87" s="351">
        <v>0</v>
      </c>
      <c r="F87" s="30" t="str">
        <f>IFERROR(VLOOKUP($C87,[20]Nod!$A$3:$E$988,4,FALSE)," ")</f>
        <v>MDN34</v>
      </c>
      <c r="G87" s="30">
        <f>IFERROR(VLOOKUP($C87,[20]Nod!$A$3:$E$988,5,FALSE)," ")</f>
        <v>4</v>
      </c>
    </row>
    <row r="88" spans="1:13" ht="20.45" customHeight="1">
      <c r="A88" s="343" t="s">
        <v>211</v>
      </c>
      <c r="B88" s="515" t="s">
        <v>342</v>
      </c>
      <c r="C88" s="470">
        <v>6013</v>
      </c>
      <c r="D88" s="521">
        <v>1.49</v>
      </c>
      <c r="E88" s="351">
        <v>0</v>
      </c>
      <c r="F88" s="30" t="str">
        <f>IFERROR(VLOOKUP($C88,[20]Nod!$A$3:$E$988,4,FALSE)," ")</f>
        <v>MDN34</v>
      </c>
      <c r="G88" s="30">
        <f>IFERROR(VLOOKUP($C88,[20]Nod!$A$3:$E$988,5,FALSE)," ")</f>
        <v>4</v>
      </c>
      <c r="L88" s="278"/>
      <c r="M88" s="278"/>
    </row>
    <row r="89" spans="1:13" ht="15" customHeight="1">
      <c r="A89" s="343" t="s">
        <v>328</v>
      </c>
      <c r="B89" s="344" t="s">
        <v>150</v>
      </c>
      <c r="C89" s="470">
        <v>6013</v>
      </c>
      <c r="D89" s="353">
        <v>8.1199999999999992</v>
      </c>
      <c r="E89" s="351">
        <v>0</v>
      </c>
      <c r="F89" s="30" t="str">
        <f>IFERROR(VLOOKUP($C89,[20]Nod!$A$3:$E$988,4,FALSE)," ")</f>
        <v>MDN34</v>
      </c>
      <c r="G89" s="30">
        <f>IFERROR(VLOOKUP($C89,[20]Nod!$A$3:$E$988,5,FALSE)," ")</f>
        <v>4</v>
      </c>
      <c r="L89" s="278"/>
      <c r="M89" s="278"/>
    </row>
    <row r="90" spans="1:13" ht="15" customHeight="1">
      <c r="A90" s="343" t="s">
        <v>213</v>
      </c>
      <c r="B90" s="344" t="s">
        <v>156</v>
      </c>
      <c r="C90" s="349">
        <v>6013</v>
      </c>
      <c r="D90" s="353">
        <v>105</v>
      </c>
      <c r="E90" s="351">
        <v>0</v>
      </c>
      <c r="F90" s="30" t="str">
        <f>IFERROR(VLOOKUP($C90,[20]Nod!$A$3:$E$988,4,FALSE)," ")</f>
        <v>MDN34</v>
      </c>
      <c r="G90" s="30">
        <f>IFERROR(VLOOKUP($C90,[20]Nod!$A$3:$E$988,5,FALSE)," ")</f>
        <v>4</v>
      </c>
      <c r="L90" s="278"/>
      <c r="M90" s="278"/>
    </row>
    <row r="91" spans="1:13" ht="15" customHeight="1">
      <c r="A91" s="343" t="s">
        <v>214</v>
      </c>
      <c r="B91" s="344" t="s">
        <v>156</v>
      </c>
      <c r="C91" s="349">
        <v>6013</v>
      </c>
      <c r="D91" s="353">
        <v>9.9600000000000009</v>
      </c>
      <c r="E91" s="351">
        <v>0</v>
      </c>
      <c r="F91" s="30" t="str">
        <f>IFERROR(VLOOKUP($C91,[20]Nod!$A$3:$E$988,4,FALSE)," ")</f>
        <v>MDN34</v>
      </c>
      <c r="G91" s="30">
        <f>IFERROR(VLOOKUP($C91,[20]Nod!$A$3:$E$988,5,FALSE)," ")</f>
        <v>4</v>
      </c>
      <c r="L91" s="278"/>
      <c r="M91" s="278"/>
    </row>
    <row r="92" spans="1:13" ht="15" customHeight="1">
      <c r="A92" s="343" t="s">
        <v>215</v>
      </c>
      <c r="B92" s="344" t="s">
        <v>150</v>
      </c>
      <c r="C92" s="349">
        <v>6182</v>
      </c>
      <c r="D92" s="353">
        <v>28.84</v>
      </c>
      <c r="E92" s="351">
        <v>0</v>
      </c>
      <c r="F92" s="30" t="str">
        <f>IFERROR(VLOOKUP($C92,[20]Nod!$A$3:$E$988,4,FALSE)," ")</f>
        <v>VEL230</v>
      </c>
      <c r="G92" s="30">
        <f>IFERROR(VLOOKUP($C92,[20]Nod!$A$3:$E$988,5,FALSE)," ")</f>
        <v>4</v>
      </c>
      <c r="L92" s="278"/>
      <c r="M92" s="278"/>
    </row>
    <row r="93" spans="1:13" ht="15" customHeight="1">
      <c r="A93" s="343" t="s">
        <v>216</v>
      </c>
      <c r="B93" s="344" t="s">
        <v>156</v>
      </c>
      <c r="C93" s="349">
        <v>6380</v>
      </c>
      <c r="D93" s="521"/>
      <c r="E93" s="351">
        <v>0</v>
      </c>
      <c r="F93" s="30" t="str">
        <f>IFERROR(VLOOKUP($C93,[20]Nod!$A$3:$E$988,4,FALSE)," ")</f>
        <v>BOQIII230</v>
      </c>
      <c r="G93" s="30">
        <f>IFERROR(VLOOKUP($C93,[20]Nod!$A$3:$E$988,5,FALSE)," ")</f>
        <v>4</v>
      </c>
      <c r="L93" s="278"/>
      <c r="M93" s="278"/>
    </row>
    <row r="94" spans="1:13" ht="15" customHeight="1">
      <c r="A94" s="343" t="s">
        <v>217</v>
      </c>
      <c r="B94" s="344" t="s">
        <v>156</v>
      </c>
      <c r="C94" s="349">
        <v>6013</v>
      </c>
      <c r="D94" s="353">
        <v>9.9</v>
      </c>
      <c r="E94" s="351">
        <v>0</v>
      </c>
      <c r="F94" s="30" t="str">
        <f>IFERROR(VLOOKUP($C94,[20]Nod!$A$3:$E$988,4,FALSE)," ")</f>
        <v>MDN34</v>
      </c>
      <c r="G94" s="30">
        <f>IFERROR(VLOOKUP($C94,[20]Nod!$A$3:$E$988,5,FALSE)," ")</f>
        <v>4</v>
      </c>
      <c r="L94" s="278"/>
      <c r="M94" s="278"/>
    </row>
    <row r="95" spans="1:13" ht="15" customHeight="1">
      <c r="A95" s="343" t="s">
        <v>218</v>
      </c>
      <c r="B95" s="344" t="s">
        <v>156</v>
      </c>
      <c r="C95" s="349">
        <v>6380</v>
      </c>
      <c r="D95" s="484">
        <v>9.8000000000000007</v>
      </c>
      <c r="E95" s="351">
        <v>0</v>
      </c>
      <c r="F95" s="30" t="str">
        <f>IFERROR(VLOOKUP($C95,[20]Nod!$A$3:$E$988,4,FALSE)," ")</f>
        <v>BOQIII230</v>
      </c>
      <c r="G95" s="30">
        <f>IFERROR(VLOOKUP($C95,[20]Nod!$A$3:$E$988,5,FALSE)," ")</f>
        <v>4</v>
      </c>
      <c r="L95" s="278"/>
      <c r="M95" s="278"/>
    </row>
    <row r="96" spans="1:13" ht="15" customHeight="1">
      <c r="A96" s="346" t="s">
        <v>219</v>
      </c>
      <c r="B96" s="344" t="s">
        <v>156</v>
      </c>
      <c r="C96" s="349">
        <v>6380</v>
      </c>
      <c r="D96" s="353">
        <v>9.8000000000000007</v>
      </c>
      <c r="E96" s="351">
        <v>0</v>
      </c>
      <c r="F96" s="30" t="str">
        <f>IFERROR(VLOOKUP($C96,[20]Nod!$A$3:$E$988,4,FALSE)," ")</f>
        <v>BOQIII230</v>
      </c>
      <c r="G96" s="30">
        <f>IFERROR(VLOOKUP($C96,[20]Nod!$A$3:$E$988,5,FALSE)," ")</f>
        <v>4</v>
      </c>
      <c r="L96" s="278"/>
      <c r="M96" s="278"/>
    </row>
    <row r="97" spans="1:13" ht="15" customHeight="1">
      <c r="A97" s="346" t="s">
        <v>220</v>
      </c>
      <c r="B97" s="344" t="s">
        <v>156</v>
      </c>
      <c r="C97" s="349">
        <v>6380</v>
      </c>
      <c r="D97" s="353">
        <v>9.8000000000000007</v>
      </c>
      <c r="E97" s="351">
        <v>0</v>
      </c>
      <c r="F97" s="30" t="str">
        <f>IFERROR(VLOOKUP($C97,[20]Nod!$A$3:$E$988,4,FALSE)," ")</f>
        <v>BOQIII230</v>
      </c>
      <c r="G97" s="30">
        <f>IFERROR(VLOOKUP($C97,[20]Nod!$A$3:$E$988,5,FALSE)," ")</f>
        <v>4</v>
      </c>
      <c r="L97" s="278"/>
      <c r="M97" s="278"/>
    </row>
    <row r="98" spans="1:13" ht="15" customHeight="1">
      <c r="A98" s="346" t="s">
        <v>221</v>
      </c>
      <c r="B98" s="344" t="s">
        <v>156</v>
      </c>
      <c r="C98" s="349">
        <v>6013</v>
      </c>
      <c r="D98" s="353">
        <v>9.9</v>
      </c>
      <c r="E98" s="351">
        <v>0</v>
      </c>
      <c r="F98" s="30" t="str">
        <f>IFERROR(VLOOKUP($C98,[20]Nod!$A$3:$E$988,4,FALSE)," ")</f>
        <v>MDN34</v>
      </c>
      <c r="G98" s="30">
        <f>IFERROR(VLOOKUP($C98,[20]Nod!$A$3:$E$988,5,FALSE)," ")</f>
        <v>4</v>
      </c>
      <c r="L98" s="278"/>
      <c r="M98" s="278"/>
    </row>
    <row r="99" spans="1:13" ht="15" customHeight="1">
      <c r="A99" s="346" t="s">
        <v>222</v>
      </c>
      <c r="B99" s="344" t="s">
        <v>156</v>
      </c>
      <c r="C99" s="349">
        <v>6013</v>
      </c>
      <c r="D99" s="353">
        <v>9.9</v>
      </c>
      <c r="E99" s="351">
        <v>0</v>
      </c>
      <c r="F99" s="30" t="str">
        <f>IFERROR(VLOOKUP($C99,[20]Nod!$A$3:$E$988,4,FALSE)," ")</f>
        <v>MDN34</v>
      </c>
      <c r="G99" s="30">
        <f>IFERROR(VLOOKUP($C99,[20]Nod!$A$3:$E$988,5,FALSE)," ")</f>
        <v>4</v>
      </c>
      <c r="L99" s="278"/>
      <c r="M99" s="278"/>
    </row>
    <row r="100" spans="1:13" ht="15" customHeight="1">
      <c r="A100" s="348" t="s">
        <v>223</v>
      </c>
      <c r="B100" s="344" t="s">
        <v>156</v>
      </c>
      <c r="C100" s="349">
        <v>6380</v>
      </c>
      <c r="D100" s="353">
        <v>9.9</v>
      </c>
      <c r="E100" s="351">
        <v>0</v>
      </c>
      <c r="F100" s="30" t="str">
        <f>IFERROR(VLOOKUP($C100,[20]Nod!$A$3:$E$988,4,FALSE)," ")</f>
        <v>BOQIII230</v>
      </c>
      <c r="G100" s="30">
        <f>IFERROR(VLOOKUP($C100,[20]Nod!$A$3:$E$988,5,FALSE)," ")</f>
        <v>4</v>
      </c>
      <c r="L100" s="278"/>
      <c r="M100" s="278"/>
    </row>
    <row r="101" spans="1:13" ht="15" customHeight="1">
      <c r="A101" s="348" t="s">
        <v>224</v>
      </c>
      <c r="B101" s="344" t="s">
        <v>156</v>
      </c>
      <c r="C101" s="349">
        <v>6013</v>
      </c>
      <c r="D101" s="353">
        <v>9.9</v>
      </c>
      <c r="E101" s="351">
        <v>0</v>
      </c>
      <c r="F101" s="30" t="str">
        <f>IFERROR(VLOOKUP($C101,[20]Nod!$A$3:$E$988,4,FALSE)," ")</f>
        <v>MDN34</v>
      </c>
      <c r="G101" s="30">
        <f>IFERROR(VLOOKUP($C101,[20]Nod!$A$3:$E$988,5,FALSE)," ")</f>
        <v>4</v>
      </c>
      <c r="L101" s="278"/>
      <c r="M101" s="278"/>
    </row>
    <row r="102" spans="1:13" ht="15" customHeight="1">
      <c r="A102" s="348" t="s">
        <v>225</v>
      </c>
      <c r="B102" s="344" t="s">
        <v>156</v>
      </c>
      <c r="C102" s="349">
        <v>6013</v>
      </c>
      <c r="D102" s="353">
        <v>9.9</v>
      </c>
      <c r="E102" s="351">
        <v>0</v>
      </c>
      <c r="F102" s="30" t="str">
        <f>IFERROR(VLOOKUP($C102,[20]Nod!$A$3:$E$988,4,FALSE)," ")</f>
        <v>MDN34</v>
      </c>
      <c r="G102" s="30">
        <f>IFERROR(VLOOKUP($C102,[20]Nod!$A$3:$E$988,5,FALSE)," ")</f>
        <v>4</v>
      </c>
      <c r="L102" s="278"/>
      <c r="M102" s="278"/>
    </row>
    <row r="103" spans="1:13" ht="15" customHeight="1">
      <c r="A103" s="348" t="s">
        <v>226</v>
      </c>
      <c r="B103" s="344" t="s">
        <v>156</v>
      </c>
      <c r="C103" s="349">
        <v>6013</v>
      </c>
      <c r="D103" s="350">
        <v>70</v>
      </c>
      <c r="E103" s="351">
        <v>0</v>
      </c>
      <c r="F103" s="30" t="str">
        <f>IFERROR(VLOOKUP($C103,[20]Nod!$A$3:$E$988,4,FALSE)," ")</f>
        <v>MDN34</v>
      </c>
      <c r="G103" s="30">
        <f>IFERROR(VLOOKUP($C103,[20]Nod!$A$3:$E$988,5,FALSE)," ")</f>
        <v>4</v>
      </c>
      <c r="L103" s="278"/>
      <c r="M103" s="278"/>
    </row>
    <row r="104" spans="1:13" ht="15" customHeight="1">
      <c r="A104" s="348" t="s">
        <v>227</v>
      </c>
      <c r="B104" s="344" t="s">
        <v>156</v>
      </c>
      <c r="C104" s="349">
        <v>6013</v>
      </c>
      <c r="D104" s="350">
        <v>9.9</v>
      </c>
      <c r="E104" s="351">
        <v>0</v>
      </c>
      <c r="F104" s="30" t="str">
        <f>IFERROR(VLOOKUP($C104,[20]Nod!$A$3:$E$988,4,FALSE)," ")</f>
        <v>MDN34</v>
      </c>
      <c r="G104" s="30">
        <f>IFERROR(VLOOKUP($C104,[20]Nod!$A$3:$E$988,5,FALSE)," ")</f>
        <v>4</v>
      </c>
      <c r="L104" s="278"/>
      <c r="M104" s="278"/>
    </row>
    <row r="105" spans="1:13" ht="15" customHeight="1">
      <c r="A105" s="348" t="s">
        <v>228</v>
      </c>
      <c r="B105" s="344" t="s">
        <v>156</v>
      </c>
      <c r="C105" s="349">
        <v>6013</v>
      </c>
      <c r="D105" s="350">
        <v>9.9</v>
      </c>
      <c r="E105" s="351">
        <v>0</v>
      </c>
      <c r="F105" s="30" t="str">
        <f>IFERROR(VLOOKUP($C105,[20]Nod!$A$3:$E$988,4,FALSE)," ")</f>
        <v>MDN34</v>
      </c>
      <c r="G105" s="30">
        <f>IFERROR(VLOOKUP($C105,[20]Nod!$A$3:$E$988,5,FALSE)," ")</f>
        <v>4</v>
      </c>
      <c r="L105" s="278"/>
      <c r="M105" s="278"/>
    </row>
    <row r="106" spans="1:13" ht="15" customHeight="1">
      <c r="A106" s="348" t="s">
        <v>229</v>
      </c>
      <c r="B106" s="344" t="s">
        <v>156</v>
      </c>
      <c r="C106" s="349">
        <v>6013</v>
      </c>
      <c r="D106" s="350">
        <v>9.9</v>
      </c>
      <c r="E106" s="351">
        <v>0</v>
      </c>
      <c r="F106" s="30" t="str">
        <f>IFERROR(VLOOKUP($C106,[20]Nod!$A$3:$E$988,4,FALSE)," ")</f>
        <v>MDN34</v>
      </c>
      <c r="G106" s="30">
        <f>IFERROR(VLOOKUP($C106,[20]Nod!$A$3:$E$988,5,FALSE)," ")</f>
        <v>4</v>
      </c>
      <c r="L106" s="278"/>
      <c r="M106" s="278"/>
    </row>
    <row r="107" spans="1:13" ht="15" customHeight="1">
      <c r="A107" s="348" t="s">
        <v>230</v>
      </c>
      <c r="B107" s="344" t="s">
        <v>156</v>
      </c>
      <c r="C107" s="349">
        <v>6013</v>
      </c>
      <c r="D107" s="350">
        <v>9.9</v>
      </c>
      <c r="E107" s="351">
        <v>0</v>
      </c>
      <c r="F107" s="30" t="str">
        <f>IFERROR(VLOOKUP($C107,[20]Nod!$A$3:$E$988,4,FALSE)," ")</f>
        <v>MDN34</v>
      </c>
      <c r="G107" s="30">
        <f>IFERROR(VLOOKUP($C107,[20]Nod!$A$3:$E$988,5,FALSE)," ")</f>
        <v>4</v>
      </c>
      <c r="L107" s="278"/>
      <c r="M107" s="278"/>
    </row>
    <row r="108" spans="1:13" ht="15" customHeight="1">
      <c r="A108" s="348" t="s">
        <v>231</v>
      </c>
      <c r="B108" s="344" t="s">
        <v>150</v>
      </c>
      <c r="C108" s="349">
        <v>6013</v>
      </c>
      <c r="D108" s="350">
        <v>63</v>
      </c>
      <c r="E108" s="351">
        <v>9</v>
      </c>
      <c r="F108" s="30" t="str">
        <f>IFERROR(VLOOKUP($C108,[20]Nod!$A$3:$E$988,4,FALSE)," ")</f>
        <v>MDN34</v>
      </c>
      <c r="G108" s="30">
        <f>IFERROR(VLOOKUP($C108,[20]Nod!$A$3:$E$988,5,FALSE)," ")</f>
        <v>4</v>
      </c>
      <c r="L108" s="278"/>
      <c r="M108" s="278"/>
    </row>
    <row r="109" spans="1:13" ht="15" customHeight="1">
      <c r="A109" s="346" t="s">
        <v>232</v>
      </c>
      <c r="B109" s="344" t="s">
        <v>156</v>
      </c>
      <c r="C109" s="352">
        <v>6520</v>
      </c>
      <c r="D109" s="353">
        <v>9.99</v>
      </c>
      <c r="E109" s="351">
        <v>0</v>
      </c>
      <c r="F109" s="30" t="str">
        <f>IFERROR(VLOOKUP($C109,[20]Nod!$A$3:$E$988,4,FALSE)," ")</f>
        <v>SBA230</v>
      </c>
      <c r="G109" s="30">
        <f>IFERROR(VLOOKUP($C109,[20]Nod!$A$3:$E$988,5,FALSE)," ")</f>
        <v>4</v>
      </c>
      <c r="L109" s="278"/>
      <c r="M109" s="278"/>
    </row>
    <row r="110" spans="1:13" ht="15" customHeight="1">
      <c r="A110" s="346" t="s">
        <v>233</v>
      </c>
      <c r="B110" s="344" t="s">
        <v>156</v>
      </c>
      <c r="C110" s="352">
        <v>6520</v>
      </c>
      <c r="D110" s="353">
        <v>9.99</v>
      </c>
      <c r="E110" s="351">
        <v>0</v>
      </c>
      <c r="F110" s="30" t="str">
        <f>IFERROR(VLOOKUP($C110,[20]Nod!$A$3:$E$988,4,FALSE)," ")</f>
        <v>SBA230</v>
      </c>
      <c r="G110" s="30">
        <f>IFERROR(VLOOKUP($C110,[20]Nod!$A$3:$E$988,5,FALSE)," ")</f>
        <v>4</v>
      </c>
      <c r="L110" s="278"/>
      <c r="M110" s="278"/>
    </row>
    <row r="111" spans="1:13" ht="15" customHeight="1">
      <c r="A111" s="346" t="s">
        <v>234</v>
      </c>
      <c r="B111" s="344" t="s">
        <v>156</v>
      </c>
      <c r="C111" s="352">
        <v>6520</v>
      </c>
      <c r="D111" s="353">
        <v>9.99</v>
      </c>
      <c r="E111" s="351">
        <v>0</v>
      </c>
      <c r="F111" s="30" t="str">
        <f>IFERROR(VLOOKUP($C111,[20]Nod!$A$3:$E$988,4,FALSE)," ")</f>
        <v>SBA230</v>
      </c>
      <c r="G111" s="30">
        <f>IFERROR(VLOOKUP($C111,[20]Nod!$A$3:$E$988,5,FALSE)," ")</f>
        <v>4</v>
      </c>
      <c r="L111" s="278"/>
      <c r="M111" s="278"/>
    </row>
    <row r="112" spans="1:13" ht="15" customHeight="1">
      <c r="A112" s="346" t="s">
        <v>235</v>
      </c>
      <c r="B112" s="344" t="s">
        <v>156</v>
      </c>
      <c r="C112" s="352">
        <v>6520</v>
      </c>
      <c r="D112" s="353">
        <v>9.99</v>
      </c>
      <c r="E112" s="351">
        <v>0</v>
      </c>
      <c r="F112" s="30" t="str">
        <f>IFERROR(VLOOKUP($C112,[20]Nod!$A$3:$E$988,4,FALSE)," ")</f>
        <v>SBA230</v>
      </c>
      <c r="G112" s="30">
        <f>IFERROR(VLOOKUP($C112,[20]Nod!$A$3:$E$988,5,FALSE)," ")</f>
        <v>4</v>
      </c>
      <c r="L112" s="278"/>
      <c r="M112" s="278"/>
    </row>
    <row r="113" spans="1:13" ht="15" customHeight="1">
      <c r="A113" s="346" t="s">
        <v>236</v>
      </c>
      <c r="B113" s="344" t="s">
        <v>156</v>
      </c>
      <c r="C113" s="352">
        <v>6520</v>
      </c>
      <c r="D113" s="353">
        <v>9.99</v>
      </c>
      <c r="E113" s="351">
        <v>0</v>
      </c>
      <c r="F113" s="30" t="str">
        <f>IFERROR(VLOOKUP($C113,[20]Nod!$A$3:$E$988,4,FALSE)," ")</f>
        <v>SBA230</v>
      </c>
      <c r="G113" s="30">
        <f>IFERROR(VLOOKUP($C113,[20]Nod!$A$3:$E$988,5,FALSE)," ")</f>
        <v>4</v>
      </c>
      <c r="L113" s="278"/>
      <c r="M113" s="278"/>
    </row>
    <row r="114" spans="1:13" ht="15" customHeight="1">
      <c r="A114" s="346" t="s">
        <v>237</v>
      </c>
      <c r="B114" s="344" t="s">
        <v>156</v>
      </c>
      <c r="C114" s="352">
        <v>6520</v>
      </c>
      <c r="D114" s="353">
        <v>9.99</v>
      </c>
      <c r="E114" s="351">
        <v>0</v>
      </c>
      <c r="F114" s="30" t="str">
        <f>IFERROR(VLOOKUP($C114,[20]Nod!$A$3:$E$988,4,FALSE)," ")</f>
        <v>SBA230</v>
      </c>
      <c r="G114" s="30">
        <f>IFERROR(VLOOKUP($C114,[20]Nod!$A$3:$E$988,5,FALSE)," ")</f>
        <v>4</v>
      </c>
      <c r="L114" s="278"/>
      <c r="M114" s="278"/>
    </row>
    <row r="115" spans="1:13" ht="15" customHeight="1">
      <c r="A115" s="347" t="s">
        <v>238</v>
      </c>
      <c r="B115" s="344" t="s">
        <v>156</v>
      </c>
      <c r="C115" s="352">
        <v>6520</v>
      </c>
      <c r="D115" s="353">
        <v>9.99</v>
      </c>
      <c r="E115" s="351">
        <v>0</v>
      </c>
      <c r="F115" s="30" t="str">
        <f>IFERROR(VLOOKUP($C115,[20]Nod!$A$3:$E$988,4,FALSE)," ")</f>
        <v>SBA230</v>
      </c>
      <c r="G115" s="30">
        <f>IFERROR(VLOOKUP($C115,[20]Nod!$A$3:$E$988,5,FALSE)," ")</f>
        <v>4</v>
      </c>
      <c r="L115" s="278"/>
      <c r="M115" s="278"/>
    </row>
    <row r="116" spans="1:13" ht="15" customHeight="1">
      <c r="A116" s="39" t="s">
        <v>31</v>
      </c>
      <c r="B116" s="56"/>
      <c r="C116" s="37"/>
      <c r="D116" s="302"/>
      <c r="E116" s="38"/>
      <c r="F116" s="30" t="str">
        <f>IFERROR(VLOOKUP($C116,[20]Nod!$A$3:$E$988,4,FALSE)," ")</f>
        <v xml:space="preserve"> </v>
      </c>
      <c r="G116" s="30" t="str">
        <f>IFERROR(VLOOKUP($C116,[20]Nod!$A$3:$E$988,5,FALSE)," ")</f>
        <v xml:space="preserve"> </v>
      </c>
      <c r="L116" s="278"/>
      <c r="M116" s="278"/>
    </row>
    <row r="117" spans="1:13" ht="15" customHeight="1">
      <c r="A117" s="45">
        <v>5</v>
      </c>
      <c r="B117" s="42"/>
      <c r="C117" s="43"/>
      <c r="D117" s="488">
        <f>SUM(D118:D164)</f>
        <v>806.46999999999991</v>
      </c>
      <c r="E117" s="294"/>
      <c r="F117" s="30" t="str">
        <f>IFERROR(VLOOKUP($C117,[20]Nod!$A$3:$E$988,4,FALSE)," ")</f>
        <v xml:space="preserve"> </v>
      </c>
      <c r="G117" s="30" t="str">
        <f>IFERROR(VLOOKUP($C117,[20]Nod!$A$3:$E$988,5,FALSE)," ")</f>
        <v xml:space="preserve"> </v>
      </c>
      <c r="L117" s="278"/>
      <c r="M117" s="278"/>
    </row>
    <row r="118" spans="1:13" ht="15" customHeight="1">
      <c r="A118" s="343" t="s">
        <v>239</v>
      </c>
      <c r="B118" s="344" t="s">
        <v>150</v>
      </c>
      <c r="C118" s="353">
        <v>6008</v>
      </c>
      <c r="D118" s="483">
        <v>6.66</v>
      </c>
      <c r="E118" s="351">
        <v>0</v>
      </c>
      <c r="F118" s="30" t="str">
        <f>IFERROR(VLOOKUP($C118,[20]Nod!$A$3:$E$988,4,FALSE)," ")</f>
        <v>LSA230</v>
      </c>
      <c r="G118" s="30">
        <f>IFERROR(VLOOKUP($C118,[20]Nod!$A$3:$E$988,5,FALSE)," ")</f>
        <v>5</v>
      </c>
      <c r="L118" s="278"/>
      <c r="M118" s="278"/>
    </row>
    <row r="119" spans="1:13" ht="15" customHeight="1">
      <c r="A119" s="343" t="s">
        <v>240</v>
      </c>
      <c r="B119" s="344" t="s">
        <v>150</v>
      </c>
      <c r="C119" s="353">
        <v>6008</v>
      </c>
      <c r="D119" s="483">
        <v>7</v>
      </c>
      <c r="E119" s="475">
        <v>0</v>
      </c>
      <c r="F119" s="30" t="str">
        <f>IFERROR(VLOOKUP($C119,[20]Nod!$A$3:$E$988,4,FALSE)," ")</f>
        <v>LSA230</v>
      </c>
      <c r="G119" s="30">
        <f>IFERROR(VLOOKUP($C119,[20]Nod!$A$3:$E$988,5,FALSE)," ")</f>
        <v>5</v>
      </c>
      <c r="L119" s="278"/>
      <c r="M119" s="278"/>
    </row>
    <row r="120" spans="1:13" ht="15" customHeight="1">
      <c r="A120" s="343" t="s">
        <v>241</v>
      </c>
      <c r="B120" s="344" t="s">
        <v>156</v>
      </c>
      <c r="C120" s="353">
        <v>6008</v>
      </c>
      <c r="D120" s="483">
        <v>9.93</v>
      </c>
      <c r="E120" s="351">
        <v>0</v>
      </c>
      <c r="F120" s="30" t="str">
        <f>IFERROR(VLOOKUP($C120,[20]Nod!$A$3:$E$988,4,FALSE)," ")</f>
        <v>LSA230</v>
      </c>
      <c r="G120" s="30">
        <f>IFERROR(VLOOKUP($C120,[20]Nod!$A$3:$E$988,5,FALSE)," ")</f>
        <v>5</v>
      </c>
      <c r="L120" s="278"/>
      <c r="M120" s="278"/>
    </row>
    <row r="121" spans="1:13" ht="15" customHeight="1">
      <c r="A121" s="343" t="s">
        <v>242</v>
      </c>
      <c r="B121" s="344" t="s">
        <v>156</v>
      </c>
      <c r="C121" s="353">
        <v>6008</v>
      </c>
      <c r="D121" s="483">
        <v>9.99</v>
      </c>
      <c r="E121" s="351">
        <v>0</v>
      </c>
      <c r="F121" s="30" t="str">
        <f>IFERROR(VLOOKUP($C121,[20]Nod!$A$3:$E$988,4,FALSE)," ")</f>
        <v>LSA230</v>
      </c>
      <c r="G121" s="30">
        <f>IFERROR(VLOOKUP($C121,[20]Nod!$A$3:$E$988,5,FALSE)," ")</f>
        <v>5</v>
      </c>
      <c r="L121" s="278"/>
      <c r="M121" s="278"/>
    </row>
    <row r="122" spans="1:13" ht="15" customHeight="1">
      <c r="A122" s="343" t="s">
        <v>329</v>
      </c>
      <c r="B122" s="344" t="s">
        <v>156</v>
      </c>
      <c r="C122" s="353">
        <v>6008</v>
      </c>
      <c r="D122" s="528"/>
      <c r="E122" s="351">
        <v>0</v>
      </c>
      <c r="F122" s="30" t="str">
        <f>IFERROR(VLOOKUP($C122,[20]Nod!$A$3:$E$988,4,FALSE)," ")</f>
        <v>LSA230</v>
      </c>
      <c r="G122" s="30">
        <f>IFERROR(VLOOKUP($C122,[20]Nod!$A$3:$E$988,5,FALSE)," ")</f>
        <v>5</v>
      </c>
      <c r="L122" s="278"/>
      <c r="M122" s="278"/>
    </row>
    <row r="123" spans="1:13" ht="15" customHeight="1">
      <c r="A123" s="343" t="s">
        <v>330</v>
      </c>
      <c r="B123" s="344" t="s">
        <v>156</v>
      </c>
      <c r="C123" s="353">
        <v>6008</v>
      </c>
      <c r="D123" s="528"/>
      <c r="E123" s="351">
        <v>0</v>
      </c>
      <c r="F123" s="30" t="str">
        <f>IFERROR(VLOOKUP($C123,[20]Nod!$A$3:$E$988,4,FALSE)," ")</f>
        <v>LSA230</v>
      </c>
      <c r="G123" s="30">
        <f>IFERROR(VLOOKUP($C123,[20]Nod!$A$3:$E$988,5,FALSE)," ")</f>
        <v>5</v>
      </c>
      <c r="L123" s="278"/>
      <c r="M123" s="278"/>
    </row>
    <row r="124" spans="1:13" ht="15" customHeight="1">
      <c r="A124" s="343" t="s">
        <v>243</v>
      </c>
      <c r="B124" s="344" t="s">
        <v>156</v>
      </c>
      <c r="C124" s="353">
        <v>6008</v>
      </c>
      <c r="D124" s="483">
        <v>8.5</v>
      </c>
      <c r="E124" s="351">
        <v>0</v>
      </c>
      <c r="F124" s="30" t="str">
        <f>IFERROR(VLOOKUP($C124,[20]Nod!$A$3:$E$988,4,FALSE)," ")</f>
        <v>LSA230</v>
      </c>
      <c r="G124" s="30">
        <f>IFERROR(VLOOKUP($C124,[20]Nod!$A$3:$E$988,5,FALSE)," ")</f>
        <v>5</v>
      </c>
      <c r="L124" s="278"/>
      <c r="M124" s="278"/>
    </row>
    <row r="125" spans="1:13" ht="15" customHeight="1">
      <c r="A125" s="343" t="s">
        <v>244</v>
      </c>
      <c r="B125" s="344" t="s">
        <v>156</v>
      </c>
      <c r="C125" s="353">
        <v>6008</v>
      </c>
      <c r="D125" s="483">
        <v>9.52</v>
      </c>
      <c r="E125" s="351">
        <v>0</v>
      </c>
      <c r="F125" s="30" t="str">
        <f>IFERROR(VLOOKUP($C125,[20]Nod!$A$3:$E$988,4,FALSE)," ")</f>
        <v>LSA230</v>
      </c>
      <c r="G125" s="30">
        <f>IFERROR(VLOOKUP($C125,[20]Nod!$A$3:$E$988,5,FALSE)," ")</f>
        <v>5</v>
      </c>
      <c r="L125" s="278"/>
      <c r="M125" s="278"/>
    </row>
    <row r="126" spans="1:13" ht="15" customHeight="1">
      <c r="A126" s="343" t="s">
        <v>245</v>
      </c>
      <c r="B126" s="344" t="s">
        <v>156</v>
      </c>
      <c r="C126" s="353">
        <v>6008</v>
      </c>
      <c r="D126" s="483">
        <v>10</v>
      </c>
      <c r="E126" s="351">
        <v>0</v>
      </c>
      <c r="F126" s="30" t="str">
        <f>IFERROR(VLOOKUP($C126,[20]Nod!$A$3:$E$988,4,FALSE)," ")</f>
        <v>LSA230</v>
      </c>
      <c r="G126" s="30">
        <f>IFERROR(VLOOKUP($C126,[20]Nod!$A$3:$E$988,5,FALSE)," ")</f>
        <v>5</v>
      </c>
      <c r="L126" s="278"/>
      <c r="M126" s="278"/>
    </row>
    <row r="127" spans="1:13" ht="15" customHeight="1">
      <c r="A127" s="343" t="s">
        <v>246</v>
      </c>
      <c r="B127" s="344" t="s">
        <v>156</v>
      </c>
      <c r="C127" s="353">
        <v>6008</v>
      </c>
      <c r="D127" s="483">
        <v>8.5</v>
      </c>
      <c r="E127" s="351">
        <v>0</v>
      </c>
      <c r="F127" s="30" t="str">
        <f>IFERROR(VLOOKUP($C127,[20]Nod!$A$3:$E$988,4,FALSE)," ")</f>
        <v>LSA230</v>
      </c>
      <c r="G127" s="30">
        <f>IFERROR(VLOOKUP($C127,[20]Nod!$A$3:$E$988,5,FALSE)," ")</f>
        <v>5</v>
      </c>
      <c r="K127" s="292"/>
      <c r="L127" s="278"/>
      <c r="M127" s="278"/>
    </row>
    <row r="128" spans="1:13" ht="15" customHeight="1">
      <c r="A128" s="343" t="s">
        <v>247</v>
      </c>
      <c r="B128" s="344" t="s">
        <v>156</v>
      </c>
      <c r="C128" s="353">
        <v>6008</v>
      </c>
      <c r="D128" s="483">
        <v>10</v>
      </c>
      <c r="E128" s="351">
        <v>0</v>
      </c>
      <c r="F128" s="30" t="str">
        <f>IFERROR(VLOOKUP($C128,[20]Nod!$A$3:$E$988,4,FALSE)," ")</f>
        <v>LSA230</v>
      </c>
      <c r="G128" s="30">
        <f>IFERROR(VLOOKUP($C128,[20]Nod!$A$3:$E$988,5,FALSE)," ")</f>
        <v>5</v>
      </c>
      <c r="K128" s="292"/>
      <c r="L128" s="278"/>
      <c r="M128" s="278"/>
    </row>
    <row r="129" spans="1:13" ht="15" customHeight="1">
      <c r="A129" s="343" t="s">
        <v>248</v>
      </c>
      <c r="B129" s="344" t="s">
        <v>156</v>
      </c>
      <c r="C129" s="353">
        <v>6008</v>
      </c>
      <c r="D129" s="483">
        <v>10</v>
      </c>
      <c r="E129" s="351">
        <v>0</v>
      </c>
      <c r="F129" s="30" t="str">
        <f>IFERROR(VLOOKUP($C129,[20]Nod!$A$3:$E$988,4,FALSE)," ")</f>
        <v>LSA230</v>
      </c>
      <c r="G129" s="30">
        <f>IFERROR(VLOOKUP($C129,[20]Nod!$A$3:$E$988,5,FALSE)," ")</f>
        <v>5</v>
      </c>
      <c r="K129" s="292"/>
      <c r="L129" s="278"/>
      <c r="M129" s="278"/>
    </row>
    <row r="130" spans="1:13" ht="15" customHeight="1">
      <c r="A130" s="343" t="s">
        <v>249</v>
      </c>
      <c r="B130" s="344" t="s">
        <v>250</v>
      </c>
      <c r="C130" s="353">
        <v>6460</v>
      </c>
      <c r="D130" s="483">
        <v>17.5</v>
      </c>
      <c r="E130" s="351">
        <v>0</v>
      </c>
      <c r="F130" s="30" t="str">
        <f>IFERROR(VLOOKUP($C130,[20]Nod!$A$3:$E$988,4,FALSE)," ")</f>
        <v>ECO230</v>
      </c>
      <c r="G130" s="30">
        <f>IFERROR(VLOOKUP($C130,[20]Nod!$A$3:$E$988,5,FALSE)," ")</f>
        <v>5</v>
      </c>
      <c r="K130" s="292"/>
      <c r="L130" s="278"/>
      <c r="M130" s="278"/>
    </row>
    <row r="131" spans="1:13" ht="15" customHeight="1">
      <c r="A131" s="343" t="s">
        <v>251</v>
      </c>
      <c r="B131" s="344" t="s">
        <v>250</v>
      </c>
      <c r="C131" s="353">
        <v>6460</v>
      </c>
      <c r="D131" s="483">
        <v>52.5</v>
      </c>
      <c r="E131" s="351">
        <v>0</v>
      </c>
      <c r="F131" s="30" t="str">
        <f>IFERROR(VLOOKUP($C131,[20]Nod!$A$3:$E$988,4,FALSE)," ")</f>
        <v>ECO230</v>
      </c>
      <c r="G131" s="30">
        <f>IFERROR(VLOOKUP($C131,[20]Nod!$A$3:$E$988,5,FALSE)," ")</f>
        <v>5</v>
      </c>
      <c r="K131" s="292"/>
      <c r="L131" s="278"/>
      <c r="M131" s="278"/>
    </row>
    <row r="132" spans="1:13" ht="15" customHeight="1">
      <c r="A132" s="343" t="s">
        <v>252</v>
      </c>
      <c r="B132" s="344" t="s">
        <v>250</v>
      </c>
      <c r="C132" s="353">
        <v>6460</v>
      </c>
      <c r="D132" s="483">
        <v>55</v>
      </c>
      <c r="E132" s="351">
        <v>0</v>
      </c>
      <c r="F132" s="30" t="str">
        <f>IFERROR(VLOOKUP($C132,[20]Nod!$A$3:$E$988,4,FALSE)," ")</f>
        <v>ECO230</v>
      </c>
      <c r="G132" s="30">
        <f>IFERROR(VLOOKUP($C132,[20]Nod!$A$3:$E$988,5,FALSE)," ")</f>
        <v>5</v>
      </c>
      <c r="K132" s="292"/>
      <c r="L132" s="278"/>
      <c r="M132" s="278"/>
    </row>
    <row r="133" spans="1:13" ht="15" customHeight="1">
      <c r="A133" s="343" t="s">
        <v>253</v>
      </c>
      <c r="B133" s="344" t="s">
        <v>250</v>
      </c>
      <c r="C133" s="353">
        <v>6460</v>
      </c>
      <c r="D133" s="483">
        <v>62.5</v>
      </c>
      <c r="E133" s="351">
        <v>0</v>
      </c>
      <c r="F133" s="30" t="str">
        <f>IFERROR(VLOOKUP($C133,[20]Nod!$A$3:$E$988,4,FALSE)," ")</f>
        <v>ECO230</v>
      </c>
      <c r="G133" s="30">
        <f>IFERROR(VLOOKUP($C133,[20]Nod!$A$3:$E$988,5,FALSE)," ")</f>
        <v>5</v>
      </c>
      <c r="K133" s="292"/>
      <c r="L133" s="278"/>
      <c r="M133" s="278"/>
    </row>
    <row r="134" spans="1:13" ht="15" customHeight="1">
      <c r="A134" s="343" t="s">
        <v>254</v>
      </c>
      <c r="B134" s="344" t="s">
        <v>250</v>
      </c>
      <c r="C134" s="353">
        <v>6460</v>
      </c>
      <c r="D134" s="483">
        <v>32.5</v>
      </c>
      <c r="E134" s="351">
        <v>0</v>
      </c>
      <c r="F134" s="30" t="str">
        <f>IFERROR(VLOOKUP($C134,[20]Nod!$A$3:$E$988,4,FALSE)," ")</f>
        <v>ECO230</v>
      </c>
      <c r="G134" s="30">
        <f>IFERROR(VLOOKUP($C134,[20]Nod!$A$3:$E$988,5,FALSE)," ")</f>
        <v>5</v>
      </c>
      <c r="K134" s="292"/>
      <c r="L134" s="278"/>
      <c r="M134" s="278"/>
    </row>
    <row r="135" spans="1:13" ht="15" customHeight="1">
      <c r="A135" s="343" t="s">
        <v>255</v>
      </c>
      <c r="B135" s="344" t="s">
        <v>250</v>
      </c>
      <c r="C135" s="353">
        <v>6460</v>
      </c>
      <c r="D135" s="483">
        <v>50</v>
      </c>
      <c r="E135" s="351">
        <v>0</v>
      </c>
      <c r="F135" s="30" t="str">
        <f>IFERROR(VLOOKUP($C135,[20]Nod!$A$3:$E$988,4,FALSE)," ")</f>
        <v>ECO230</v>
      </c>
      <c r="G135" s="30">
        <f>IFERROR(VLOOKUP($C135,[20]Nod!$A$3:$E$988,5,FALSE)," ")</f>
        <v>5</v>
      </c>
      <c r="K135" s="292"/>
      <c r="L135" s="278"/>
      <c r="M135" s="278"/>
    </row>
    <row r="136" spans="1:13" ht="15" customHeight="1">
      <c r="A136" s="343" t="s">
        <v>256</v>
      </c>
      <c r="B136" s="344" t="s">
        <v>156</v>
      </c>
      <c r="C136" s="353">
        <v>6008</v>
      </c>
      <c r="D136" s="483">
        <v>16</v>
      </c>
      <c r="E136" s="351">
        <v>0</v>
      </c>
      <c r="F136" s="30" t="str">
        <f>IFERROR(VLOOKUP($C136,[20]Nod!$A$3:$E$988,4,FALSE)," ")</f>
        <v>LSA230</v>
      </c>
      <c r="G136" s="30">
        <f>IFERROR(VLOOKUP($C136,[20]Nod!$A$3:$E$988,5,FALSE)," ")</f>
        <v>5</v>
      </c>
      <c r="K136" s="292"/>
      <c r="L136" s="278"/>
      <c r="M136" s="278"/>
    </row>
    <row r="137" spans="1:13" ht="15" customHeight="1">
      <c r="A137" s="343" t="s">
        <v>257</v>
      </c>
      <c r="B137" s="344" t="s">
        <v>156</v>
      </c>
      <c r="C137" s="353">
        <v>6008</v>
      </c>
      <c r="D137" s="483">
        <v>5.66</v>
      </c>
      <c r="E137" s="351">
        <v>0</v>
      </c>
      <c r="F137" s="30" t="str">
        <f>IFERROR(VLOOKUP($C137,[20]Nod!$A$3:$E$988,4,FALSE)," ")</f>
        <v>LSA230</v>
      </c>
      <c r="G137" s="30">
        <f>IFERROR(VLOOKUP($C137,[20]Nod!$A$3:$E$988,5,FALSE)," ")</f>
        <v>5</v>
      </c>
      <c r="K137" s="292"/>
      <c r="L137" s="278"/>
      <c r="M137" s="278"/>
    </row>
    <row r="138" spans="1:13" ht="15" customHeight="1">
      <c r="A138" s="343" t="s">
        <v>142</v>
      </c>
      <c r="B138" s="344" t="s">
        <v>156</v>
      </c>
      <c r="C138" s="352">
        <v>6008</v>
      </c>
      <c r="D138" s="483">
        <v>9.9</v>
      </c>
      <c r="E138" s="351">
        <v>0</v>
      </c>
      <c r="F138" s="30" t="str">
        <f>IFERROR(VLOOKUP($C138,[20]Nod!$A$3:$E$988,4,FALSE)," ")</f>
        <v>LSA230</v>
      </c>
      <c r="G138" s="30">
        <f>IFERROR(VLOOKUP($C138,[20]Nod!$A$3:$E$988,5,FALSE)," ")</f>
        <v>5</v>
      </c>
      <c r="K138" s="292"/>
      <c r="L138" s="278"/>
      <c r="M138" s="278"/>
    </row>
    <row r="139" spans="1:13" ht="15" customHeight="1">
      <c r="A139" s="343" t="s">
        <v>258</v>
      </c>
      <c r="B139" s="344" t="s">
        <v>156</v>
      </c>
      <c r="C139" s="352">
        <v>6008</v>
      </c>
      <c r="D139" s="522"/>
      <c r="E139" s="351">
        <v>0</v>
      </c>
      <c r="F139" s="30" t="str">
        <f>IFERROR(VLOOKUP($C139,[20]Nod!$A$3:$E$988,4,FALSE)," ")</f>
        <v>LSA230</v>
      </c>
      <c r="G139" s="30">
        <f>IFERROR(VLOOKUP($C139,[20]Nod!$A$3:$E$988,5,FALSE)," ")</f>
        <v>5</v>
      </c>
      <c r="K139" s="292"/>
      <c r="L139" s="278"/>
      <c r="M139" s="278"/>
    </row>
    <row r="140" spans="1:13" ht="15" customHeight="1">
      <c r="A140" s="343" t="s">
        <v>259</v>
      </c>
      <c r="B140" s="344" t="s">
        <v>156</v>
      </c>
      <c r="C140" s="352">
        <v>6008</v>
      </c>
      <c r="D140" s="483">
        <v>120</v>
      </c>
      <c r="E140" s="351">
        <v>0</v>
      </c>
      <c r="F140" s="30" t="str">
        <f>IFERROR(VLOOKUP($C140,[20]Nod!$A$3:$E$988,4,FALSE)," ")</f>
        <v>LSA230</v>
      </c>
      <c r="G140" s="30">
        <f>IFERROR(VLOOKUP($C140,[20]Nod!$A$3:$E$988,5,FALSE)," ")</f>
        <v>5</v>
      </c>
      <c r="K140" s="292"/>
      <c r="L140" s="278"/>
      <c r="M140" s="278"/>
    </row>
    <row r="141" spans="1:13" ht="15" customHeight="1">
      <c r="A141" s="343" t="s">
        <v>260</v>
      </c>
      <c r="B141" s="344" t="s">
        <v>156</v>
      </c>
      <c r="C141" s="352">
        <v>6008</v>
      </c>
      <c r="D141" s="483">
        <v>9.9700000000000006</v>
      </c>
      <c r="E141" s="351">
        <v>0</v>
      </c>
      <c r="F141" s="30" t="str">
        <f>IFERROR(VLOOKUP($C141,[20]Nod!$A$3:$E$988,4,FALSE)," ")</f>
        <v>LSA230</v>
      </c>
      <c r="G141" s="30">
        <f>IFERROR(VLOOKUP($C141,[20]Nod!$A$3:$E$988,5,FALSE)," ")</f>
        <v>5</v>
      </c>
      <c r="K141" s="292"/>
      <c r="L141" s="278"/>
      <c r="M141" s="278"/>
    </row>
    <row r="142" spans="1:13" ht="15" customHeight="1">
      <c r="A142" s="343" t="s">
        <v>261</v>
      </c>
      <c r="B142" s="344" t="s">
        <v>156</v>
      </c>
      <c r="C142" s="352">
        <v>6008</v>
      </c>
      <c r="D142" s="483">
        <v>9.9700000000000006</v>
      </c>
      <c r="E142" s="351">
        <v>0</v>
      </c>
      <c r="F142" s="30" t="str">
        <f>IFERROR(VLOOKUP($C142,[20]Nod!$A$3:$E$988,4,FALSE)," ")</f>
        <v>LSA230</v>
      </c>
      <c r="G142" s="30">
        <f>IFERROR(VLOOKUP($C142,[20]Nod!$A$3:$E$988,5,FALSE)," ")</f>
        <v>5</v>
      </c>
      <c r="K142" s="292"/>
      <c r="L142" s="278"/>
      <c r="M142" s="278"/>
    </row>
    <row r="143" spans="1:13" ht="15" customHeight="1">
      <c r="A143" s="343" t="s">
        <v>331</v>
      </c>
      <c r="B143" s="344" t="s">
        <v>156</v>
      </c>
      <c r="C143" s="352">
        <v>6008</v>
      </c>
      <c r="D143" s="483">
        <v>9.8800000000000008</v>
      </c>
      <c r="E143" s="351">
        <v>0</v>
      </c>
      <c r="F143" s="30" t="str">
        <f>IFERROR(VLOOKUP($C143,[20]Nod!$A$3:$E$988,4,FALSE)," ")</f>
        <v>LSA230</v>
      </c>
      <c r="G143" s="30">
        <f>IFERROR(VLOOKUP($C143,[20]Nod!$A$3:$E$988,5,FALSE)," ")</f>
        <v>5</v>
      </c>
      <c r="K143" s="292"/>
      <c r="L143" s="278"/>
      <c r="M143" s="278"/>
    </row>
    <row r="144" spans="1:13" ht="15" customHeight="1">
      <c r="A144" s="343" t="s">
        <v>332</v>
      </c>
      <c r="B144" s="344" t="s">
        <v>156</v>
      </c>
      <c r="C144" s="352">
        <v>6008</v>
      </c>
      <c r="D144" s="483">
        <v>5.61</v>
      </c>
      <c r="E144" s="351">
        <v>0</v>
      </c>
      <c r="F144" s="30" t="str">
        <f>IFERROR(VLOOKUP($C144,[20]Nod!$A$3:$E$988,4,FALSE)," ")</f>
        <v>LSA230</v>
      </c>
      <c r="G144" s="30">
        <f>IFERROR(VLOOKUP($C144,[20]Nod!$A$3:$E$988,5,FALSE)," ")</f>
        <v>5</v>
      </c>
      <c r="K144" s="292"/>
      <c r="L144" s="278"/>
      <c r="M144" s="278"/>
    </row>
    <row r="145" spans="1:13" ht="15" customHeight="1">
      <c r="A145" s="343" t="s">
        <v>347</v>
      </c>
      <c r="B145" s="344" t="s">
        <v>156</v>
      </c>
      <c r="C145" s="352">
        <v>6008</v>
      </c>
      <c r="D145" s="529">
        <v>5.8</v>
      </c>
      <c r="E145" s="351">
        <v>0</v>
      </c>
      <c r="F145" s="30" t="str">
        <f>IFERROR(VLOOKUP($C145,[20]Nod!$A$3:$E$988,4,FALSE)," ")</f>
        <v>LSA230</v>
      </c>
      <c r="G145" s="30">
        <f>IFERROR(VLOOKUP($C145,[20]Nod!$A$3:$E$988,5,FALSE)," ")</f>
        <v>5</v>
      </c>
      <c r="K145" s="292"/>
      <c r="L145" s="278"/>
      <c r="M145" s="278"/>
    </row>
    <row r="146" spans="1:13" ht="15" customHeight="1">
      <c r="A146" s="343" t="s">
        <v>334</v>
      </c>
      <c r="B146" s="344" t="s">
        <v>156</v>
      </c>
      <c r="C146" s="352">
        <v>6008</v>
      </c>
      <c r="D146" s="529">
        <v>6.02</v>
      </c>
      <c r="E146" s="351">
        <v>0</v>
      </c>
      <c r="F146" s="30" t="str">
        <f>IFERROR(VLOOKUP($C146,[20]Nod!$A$3:$E$988,4,FALSE)," ")</f>
        <v>LSA230</v>
      </c>
      <c r="G146" s="30">
        <f>IFERROR(VLOOKUP($C146,[20]Nod!$A$3:$E$988,5,FALSE)," ")</f>
        <v>5</v>
      </c>
      <c r="K146" s="292"/>
      <c r="L146" s="278"/>
      <c r="M146" s="278"/>
    </row>
    <row r="147" spans="1:13" ht="15" customHeight="1">
      <c r="A147" s="343" t="s">
        <v>262</v>
      </c>
      <c r="B147" s="344" t="s">
        <v>156</v>
      </c>
      <c r="C147" s="352">
        <v>6008</v>
      </c>
      <c r="D147" s="483">
        <v>11.7</v>
      </c>
      <c r="E147" s="351">
        <v>0</v>
      </c>
      <c r="F147" s="30" t="str">
        <f>IFERROR(VLOOKUP($C147,[20]Nod!$A$3:$E$988,4,FALSE)," ")</f>
        <v>LSA230</v>
      </c>
      <c r="G147" s="30">
        <f>IFERROR(VLOOKUP($C147,[20]Nod!$A$3:$E$988,5,FALSE)," ")</f>
        <v>5</v>
      </c>
      <c r="K147" s="292"/>
      <c r="L147" s="278"/>
      <c r="M147" s="278"/>
    </row>
    <row r="148" spans="1:13" ht="15" customHeight="1">
      <c r="A148" s="343" t="s">
        <v>263</v>
      </c>
      <c r="B148" s="344" t="s">
        <v>156</v>
      </c>
      <c r="C148" s="352">
        <v>6008</v>
      </c>
      <c r="D148" s="483">
        <v>7.56</v>
      </c>
      <c r="E148" s="351">
        <v>0</v>
      </c>
      <c r="F148" s="30" t="str">
        <f>IFERROR(VLOOKUP($C148,[20]Nod!$A$3:$E$988,4,FALSE)," ")</f>
        <v>LSA230</v>
      </c>
      <c r="G148" s="30">
        <f>IFERROR(VLOOKUP($C148,[20]Nod!$A$3:$E$988,5,FALSE)," ")</f>
        <v>5</v>
      </c>
      <c r="K148" s="292"/>
      <c r="L148" s="278"/>
      <c r="M148" s="278"/>
    </row>
    <row r="149" spans="1:13" ht="15" customHeight="1">
      <c r="A149" s="343" t="s">
        <v>264</v>
      </c>
      <c r="B149" s="344" t="s">
        <v>156</v>
      </c>
      <c r="C149" s="352">
        <v>6008</v>
      </c>
      <c r="D149" s="483">
        <v>9.99</v>
      </c>
      <c r="E149" s="351">
        <v>0</v>
      </c>
      <c r="F149" s="30" t="str">
        <f>IFERROR(VLOOKUP($C149,[20]Nod!$A$3:$E$988,4,FALSE)," ")</f>
        <v>LSA230</v>
      </c>
      <c r="G149" s="30">
        <f>IFERROR(VLOOKUP($C149,[20]Nod!$A$3:$E$988,5,FALSE)," ")</f>
        <v>5</v>
      </c>
      <c r="K149" s="292"/>
      <c r="L149" s="278"/>
      <c r="M149" s="278"/>
    </row>
    <row r="150" spans="1:13" ht="15" customHeight="1">
      <c r="A150" s="346" t="s">
        <v>265</v>
      </c>
      <c r="B150" s="344" t="s">
        <v>156</v>
      </c>
      <c r="C150" s="352">
        <v>6460</v>
      </c>
      <c r="D150" s="485">
        <v>9.9</v>
      </c>
      <c r="E150" s="351">
        <v>0</v>
      </c>
      <c r="F150" s="30" t="str">
        <f>IFERROR(VLOOKUP($C150,[20]Nod!$A$3:$E$988,4,FALSE)," ")</f>
        <v>ECO230</v>
      </c>
      <c r="G150" s="30">
        <f>IFERROR(VLOOKUP($C150,[20]Nod!$A$3:$E$988,5,FALSE)," ")</f>
        <v>5</v>
      </c>
      <c r="K150" s="292"/>
      <c r="L150" s="278"/>
      <c r="M150" s="278"/>
    </row>
    <row r="151" spans="1:13" ht="15" customHeight="1">
      <c r="A151" s="343" t="s">
        <v>266</v>
      </c>
      <c r="B151" s="344" t="s">
        <v>156</v>
      </c>
      <c r="C151" s="352">
        <v>6008</v>
      </c>
      <c r="D151" s="483">
        <v>12.5</v>
      </c>
      <c r="E151" s="351">
        <v>0</v>
      </c>
      <c r="F151" s="30" t="str">
        <f>IFERROR(VLOOKUP($C151,[20]Nod!$A$3:$E$988,4,FALSE)," ")</f>
        <v>LSA230</v>
      </c>
      <c r="G151" s="30">
        <f>IFERROR(VLOOKUP($C151,[20]Nod!$A$3:$E$988,5,FALSE)," ")</f>
        <v>5</v>
      </c>
      <c r="K151" s="292"/>
      <c r="L151" s="278"/>
      <c r="M151" s="278"/>
    </row>
    <row r="152" spans="1:13" ht="15" customHeight="1">
      <c r="A152" s="346" t="s">
        <v>267</v>
      </c>
      <c r="B152" s="344" t="s">
        <v>156</v>
      </c>
      <c r="C152" s="352">
        <v>6008</v>
      </c>
      <c r="D152" s="485">
        <v>7.5</v>
      </c>
      <c r="E152" s="351">
        <v>0</v>
      </c>
      <c r="F152" s="30" t="str">
        <f>IFERROR(VLOOKUP($C152,[20]Nod!$A$3:$E$988,4,FALSE)," ")</f>
        <v>LSA230</v>
      </c>
      <c r="G152" s="30">
        <f>IFERROR(VLOOKUP($C152,[20]Nod!$A$3:$E$988,5,FALSE)," ")</f>
        <v>5</v>
      </c>
      <c r="K152" s="292"/>
      <c r="L152" s="278"/>
      <c r="M152" s="278"/>
    </row>
    <row r="153" spans="1:13" ht="15" customHeight="1">
      <c r="A153" s="346" t="s">
        <v>268</v>
      </c>
      <c r="B153" s="344" t="s">
        <v>156</v>
      </c>
      <c r="C153" s="352">
        <v>6008</v>
      </c>
      <c r="D153" s="485">
        <v>9.99</v>
      </c>
      <c r="E153" s="351">
        <v>0</v>
      </c>
      <c r="F153" s="30" t="str">
        <f>IFERROR(VLOOKUP($C153,[20]Nod!$A$3:$E$988,4,FALSE)," ")</f>
        <v>LSA230</v>
      </c>
      <c r="G153" s="30">
        <f>IFERROR(VLOOKUP($C153,[20]Nod!$A$3:$E$988,5,FALSE)," ")</f>
        <v>5</v>
      </c>
      <c r="K153" s="292"/>
      <c r="L153" s="278"/>
      <c r="M153" s="278"/>
    </row>
    <row r="154" spans="1:13" ht="15" customHeight="1">
      <c r="A154" s="346" t="s">
        <v>269</v>
      </c>
      <c r="B154" s="344" t="s">
        <v>156</v>
      </c>
      <c r="C154" s="352">
        <v>6008</v>
      </c>
      <c r="D154" s="353">
        <v>9.9</v>
      </c>
      <c r="E154" s="351">
        <v>0</v>
      </c>
      <c r="F154" s="30" t="str">
        <f>IFERROR(VLOOKUP($C154,[20]Nod!$A$3:$E$988,4,FALSE)," ")</f>
        <v>LSA230</v>
      </c>
      <c r="G154" s="30">
        <f>IFERROR(VLOOKUP($C154,[20]Nod!$A$3:$E$988,5,FALSE)," ")</f>
        <v>5</v>
      </c>
      <c r="K154" s="292"/>
      <c r="L154" s="278"/>
      <c r="M154" s="278"/>
    </row>
    <row r="155" spans="1:13" ht="15" customHeight="1">
      <c r="A155" s="346" t="s">
        <v>270</v>
      </c>
      <c r="B155" s="344" t="s">
        <v>156</v>
      </c>
      <c r="C155" s="352">
        <v>6008</v>
      </c>
      <c r="D155" s="521"/>
      <c r="E155" s="351">
        <v>0</v>
      </c>
      <c r="F155" s="30" t="str">
        <f>IFERROR(VLOOKUP($C155,[20]Nod!$A$3:$E$988,4,FALSE)," ")</f>
        <v>LSA230</v>
      </c>
      <c r="G155" s="30">
        <f>IFERROR(VLOOKUP($C155,[20]Nod!$A$3:$E$988,5,FALSE)," ")</f>
        <v>5</v>
      </c>
      <c r="K155" s="292"/>
      <c r="L155" s="278"/>
      <c r="M155" s="278"/>
    </row>
    <row r="156" spans="1:13" ht="15" customHeight="1">
      <c r="A156" s="346" t="s">
        <v>271</v>
      </c>
      <c r="B156" s="344" t="s">
        <v>156</v>
      </c>
      <c r="C156" s="352">
        <v>6008</v>
      </c>
      <c r="D156" s="353">
        <v>12</v>
      </c>
      <c r="E156" s="351">
        <v>0</v>
      </c>
      <c r="F156" s="30" t="str">
        <f>IFERROR(VLOOKUP($C156,[20]Nod!$A$3:$E$988,4,FALSE)," ")</f>
        <v>LSA230</v>
      </c>
      <c r="G156" s="30">
        <f>IFERROR(VLOOKUP($C156,[20]Nod!$A$3:$E$988,5,FALSE)," ")</f>
        <v>5</v>
      </c>
      <c r="K156" s="292"/>
      <c r="L156" s="278"/>
      <c r="M156" s="278"/>
    </row>
    <row r="157" spans="1:13" ht="20.45" customHeight="1">
      <c r="A157" s="347" t="s">
        <v>335</v>
      </c>
      <c r="B157" s="515" t="s">
        <v>342</v>
      </c>
      <c r="C157" s="352">
        <v>6008</v>
      </c>
      <c r="D157" s="521">
        <v>0.59</v>
      </c>
      <c r="E157" s="351">
        <v>0</v>
      </c>
      <c r="F157" s="30" t="str">
        <f>IFERROR(VLOOKUP($C157,[20]Nod!$A$3:$E$988,4,FALSE)," ")</f>
        <v>LSA230</v>
      </c>
      <c r="G157" s="30">
        <f>IFERROR(VLOOKUP($C157,[20]Nod!$A$3:$E$988,5,FALSE)," ")</f>
        <v>5</v>
      </c>
      <c r="K157" s="292"/>
      <c r="L157" s="278"/>
      <c r="M157" s="278"/>
    </row>
    <row r="158" spans="1:13" ht="15" customHeight="1">
      <c r="A158" s="347" t="s">
        <v>272</v>
      </c>
      <c r="B158" s="344" t="s">
        <v>156</v>
      </c>
      <c r="C158" s="352">
        <v>6008</v>
      </c>
      <c r="D158" s="353">
        <v>8.5</v>
      </c>
      <c r="E158" s="351">
        <v>0</v>
      </c>
      <c r="F158" s="30" t="str">
        <f>IFERROR(VLOOKUP($C158,[20]Nod!$A$3:$E$988,4,FALSE)," ")</f>
        <v>LSA230</v>
      </c>
      <c r="G158" s="30">
        <f>IFERROR(VLOOKUP($C158,[20]Nod!$A$3:$E$988,5,FALSE)," ")</f>
        <v>5</v>
      </c>
      <c r="K158" s="292"/>
      <c r="L158" s="278"/>
      <c r="M158" s="278"/>
    </row>
    <row r="159" spans="1:13" ht="15" customHeight="1">
      <c r="A159" s="347" t="s">
        <v>273</v>
      </c>
      <c r="B159" s="344" t="s">
        <v>156</v>
      </c>
      <c r="C159" s="352">
        <v>6008</v>
      </c>
      <c r="D159" s="353">
        <v>7.74</v>
      </c>
      <c r="E159" s="351">
        <v>0</v>
      </c>
      <c r="F159" s="30" t="str">
        <f>IFERROR(VLOOKUP($C159,[20]Nod!$A$3:$E$988,4,FALSE)," ")</f>
        <v>LSA230</v>
      </c>
      <c r="G159" s="30">
        <f>IFERROR(VLOOKUP($C159,[20]Nod!$A$3:$E$988,5,FALSE)," ")</f>
        <v>5</v>
      </c>
      <c r="K159" s="292"/>
      <c r="L159" s="278"/>
      <c r="M159" s="278"/>
    </row>
    <row r="160" spans="1:13" ht="15" customHeight="1">
      <c r="A160" s="347" t="s">
        <v>274</v>
      </c>
      <c r="B160" s="344" t="s">
        <v>156</v>
      </c>
      <c r="C160" s="352">
        <v>6008</v>
      </c>
      <c r="D160" s="353">
        <v>9.9</v>
      </c>
      <c r="E160" s="351">
        <v>0</v>
      </c>
      <c r="F160" s="30" t="str">
        <f>IFERROR(VLOOKUP($C160,[20]Nod!$A$3:$E$988,4,FALSE)," ")</f>
        <v>LSA230</v>
      </c>
      <c r="G160" s="30">
        <f>IFERROR(VLOOKUP($C160,[20]Nod!$A$3:$E$988,5,FALSE)," ")</f>
        <v>5</v>
      </c>
      <c r="K160" s="292"/>
      <c r="L160" s="278"/>
      <c r="M160" s="278"/>
    </row>
    <row r="161" spans="1:13" ht="15" customHeight="1">
      <c r="A161" s="347" t="s">
        <v>275</v>
      </c>
      <c r="B161" s="344" t="s">
        <v>156</v>
      </c>
      <c r="C161" s="352">
        <v>6008</v>
      </c>
      <c r="D161" s="353">
        <v>9.9</v>
      </c>
      <c r="E161" s="351">
        <v>0</v>
      </c>
      <c r="F161" s="30" t="str">
        <f>IFERROR(VLOOKUP($C161,[20]Nod!$A$3:$E$988,4,FALSE)," ")</f>
        <v>LSA230</v>
      </c>
      <c r="G161" s="30">
        <f>IFERROR(VLOOKUP($C161,[20]Nod!$A$3:$E$988,5,FALSE)," ")</f>
        <v>5</v>
      </c>
      <c r="K161" s="292"/>
      <c r="L161" s="278"/>
      <c r="M161" s="278"/>
    </row>
    <row r="162" spans="1:13" ht="15" customHeight="1">
      <c r="A162" s="347" t="s">
        <v>276</v>
      </c>
      <c r="B162" s="344" t="s">
        <v>156</v>
      </c>
      <c r="C162" s="352">
        <v>6008</v>
      </c>
      <c r="D162" s="353">
        <v>9.9</v>
      </c>
      <c r="E162" s="351">
        <v>0</v>
      </c>
      <c r="F162" s="30" t="str">
        <f>IFERROR(VLOOKUP($C162,[20]Nod!$A$3:$E$988,4,FALSE)," ")</f>
        <v>LSA230</v>
      </c>
      <c r="G162" s="30">
        <f>IFERROR(VLOOKUP($C162,[20]Nod!$A$3:$E$988,5,FALSE)," ")</f>
        <v>5</v>
      </c>
      <c r="K162" s="292"/>
      <c r="L162" s="278"/>
      <c r="M162" s="278"/>
    </row>
    <row r="163" spans="1:13" ht="15" customHeight="1">
      <c r="A163" s="347" t="s">
        <v>277</v>
      </c>
      <c r="B163" s="344" t="s">
        <v>156</v>
      </c>
      <c r="C163" s="352">
        <v>6008</v>
      </c>
      <c r="D163" s="353">
        <v>9.99</v>
      </c>
      <c r="E163" s="353">
        <v>0</v>
      </c>
      <c r="F163" s="30" t="str">
        <f>IFERROR(VLOOKUP($C163,[20]Nod!$A$3:$E$988,4,FALSE)," ")</f>
        <v>LSA230</v>
      </c>
      <c r="G163" s="30">
        <f>IFERROR(VLOOKUP($C163,[20]Nod!$A$3:$E$988,5,FALSE)," ")</f>
        <v>5</v>
      </c>
      <c r="K163" s="292"/>
      <c r="L163" s="278"/>
      <c r="M163" s="278"/>
    </row>
    <row r="164" spans="1:13" ht="15" customHeight="1">
      <c r="A164" s="347" t="s">
        <v>278</v>
      </c>
      <c r="B164" s="354" t="s">
        <v>212</v>
      </c>
      <c r="C164" s="352">
        <v>6008</v>
      </c>
      <c r="D164" s="353">
        <v>100</v>
      </c>
      <c r="E164" s="353">
        <v>0</v>
      </c>
      <c r="F164" s="30" t="str">
        <f>IFERROR(VLOOKUP($C164,[20]Nod!$A$3:$E$988,4,FALSE)," ")</f>
        <v>LSA230</v>
      </c>
      <c r="G164" s="30">
        <f>IFERROR(VLOOKUP($C164,[20]Nod!$A$3:$E$988,5,FALSE)," ")</f>
        <v>5</v>
      </c>
      <c r="K164" s="292"/>
      <c r="L164" s="278"/>
      <c r="M164" s="278"/>
    </row>
    <row r="165" spans="1:13" ht="15" customHeight="1">
      <c r="A165" s="39" t="s">
        <v>31</v>
      </c>
      <c r="B165" s="56"/>
      <c r="C165" s="37"/>
      <c r="D165" s="302"/>
      <c r="E165" s="38"/>
      <c r="F165" s="30" t="str">
        <f>IFERROR(VLOOKUP($C165,[20]Nod!$A$3:$E$988,4,FALSE)," ")</f>
        <v xml:space="preserve"> </v>
      </c>
      <c r="G165" s="30" t="str">
        <f>IFERROR(VLOOKUP($C165,[20]Nod!$A$3:$E$988,5,FALSE)," ")</f>
        <v xml:space="preserve"> </v>
      </c>
      <c r="K165" s="292"/>
      <c r="L165" s="278"/>
      <c r="M165" s="278"/>
    </row>
    <row r="166" spans="1:13" ht="15" customHeight="1">
      <c r="A166" s="45">
        <v>6</v>
      </c>
      <c r="B166" s="42"/>
      <c r="C166" s="43"/>
      <c r="D166" s="488">
        <f>SUM(D167:D186)</f>
        <v>451.46</v>
      </c>
      <c r="E166" s="294"/>
      <c r="F166" s="30" t="str">
        <f>IFERROR(VLOOKUP($C166,[20]Nod!$A$3:$E$988,4,FALSE)," ")</f>
        <v xml:space="preserve"> </v>
      </c>
      <c r="G166" s="30" t="str">
        <f>IFERROR(VLOOKUP($C166,[20]Nod!$A$3:$E$988,5,FALSE)," ")</f>
        <v xml:space="preserve"> </v>
      </c>
      <c r="K166" s="292"/>
      <c r="L166" s="278"/>
      <c r="M166" s="278"/>
    </row>
    <row r="167" spans="1:13" ht="15" customHeight="1">
      <c r="A167" s="343" t="s">
        <v>279</v>
      </c>
      <c r="B167" s="344" t="s">
        <v>212</v>
      </c>
      <c r="C167" s="349">
        <v>6005</v>
      </c>
      <c r="D167" s="486">
        <v>147</v>
      </c>
      <c r="E167" s="351">
        <v>0</v>
      </c>
      <c r="F167" s="30" t="str">
        <f>IFERROR(VLOOKUP($C167,[20]Nod!$A$3:$E$988,4,FALSE)," ")</f>
        <v>CHO230</v>
      </c>
      <c r="G167" s="30">
        <f>IFERROR(VLOOKUP($C167,[20]Nod!$A$3:$E$988,5,FALSE)," ")</f>
        <v>6</v>
      </c>
      <c r="K167" s="292"/>
      <c r="L167" s="278"/>
      <c r="M167" s="278"/>
    </row>
    <row r="168" spans="1:13" ht="15" customHeight="1">
      <c r="A168" s="343" t="s">
        <v>280</v>
      </c>
      <c r="B168" s="344" t="s">
        <v>156</v>
      </c>
      <c r="C168" s="467">
        <v>6240</v>
      </c>
      <c r="D168" s="522"/>
      <c r="E168" s="351">
        <v>0</v>
      </c>
      <c r="F168" s="30" t="str">
        <f>IFERROR(VLOOKUP($C168,[20]Nod!$A$3:$E$988,4,FALSE)," ")</f>
        <v>EHIG230</v>
      </c>
      <c r="G168" s="30">
        <f>IFERROR(VLOOKUP($C168,[20]Nod!$A$3:$E$988,5,FALSE)," ")</f>
        <v>6</v>
      </c>
      <c r="K168" s="292"/>
      <c r="L168" s="278"/>
      <c r="M168" s="278"/>
    </row>
    <row r="169" spans="1:13" ht="15" customHeight="1">
      <c r="A169" s="343" t="s">
        <v>281</v>
      </c>
      <c r="B169" s="344" t="s">
        <v>156</v>
      </c>
      <c r="C169" s="467">
        <v>6005</v>
      </c>
      <c r="D169" s="522"/>
      <c r="E169" s="351">
        <v>0</v>
      </c>
      <c r="F169" s="30" t="str">
        <f>IFERROR(VLOOKUP($C169,[20]Nod!$A$3:$E$988,4,FALSE)," ")</f>
        <v>CHO230</v>
      </c>
      <c r="G169" s="30">
        <f>IFERROR(VLOOKUP($C169,[20]Nod!$A$3:$E$988,5,FALSE)," ")</f>
        <v>6</v>
      </c>
      <c r="K169" s="292"/>
      <c r="L169" s="278"/>
      <c r="M169" s="278"/>
    </row>
    <row r="170" spans="1:13" ht="15" customHeight="1">
      <c r="A170" s="343" t="s">
        <v>282</v>
      </c>
      <c r="B170" s="344" t="s">
        <v>156</v>
      </c>
      <c r="C170" s="467">
        <v>6005</v>
      </c>
      <c r="D170" s="522"/>
      <c r="E170" s="351">
        <v>0</v>
      </c>
      <c r="F170" s="30" t="str">
        <f>IFERROR(VLOOKUP($C170,[20]Nod!$A$3:$E$988,4,FALSE)," ")</f>
        <v>CHO230</v>
      </c>
      <c r="G170" s="30">
        <f>IFERROR(VLOOKUP($C170,[20]Nod!$A$3:$E$988,5,FALSE)," ")</f>
        <v>6</v>
      </c>
      <c r="K170" s="292"/>
      <c r="L170" s="278"/>
      <c r="M170" s="278"/>
    </row>
    <row r="171" spans="1:13" ht="15" customHeight="1">
      <c r="A171" s="343" t="s">
        <v>283</v>
      </c>
      <c r="B171" s="344" t="s">
        <v>156</v>
      </c>
      <c r="C171" s="467">
        <v>6005</v>
      </c>
      <c r="D171" s="522"/>
      <c r="E171" s="351">
        <v>0</v>
      </c>
      <c r="F171" s="30" t="str">
        <f>IFERROR(VLOOKUP($C171,[20]Nod!$A$3:$E$988,4,FALSE)," ")</f>
        <v>CHO230</v>
      </c>
      <c r="G171" s="30">
        <f>IFERROR(VLOOKUP($C171,[20]Nod!$A$3:$E$988,5,FALSE)," ")</f>
        <v>6</v>
      </c>
      <c r="L171" s="278"/>
      <c r="M171" s="278"/>
    </row>
    <row r="172" spans="1:13" ht="15" customHeight="1">
      <c r="A172" s="343" t="s">
        <v>284</v>
      </c>
      <c r="B172" s="344" t="s">
        <v>156</v>
      </c>
      <c r="C172" s="467">
        <v>6005</v>
      </c>
      <c r="D172" s="525"/>
      <c r="E172" s="351">
        <v>0</v>
      </c>
      <c r="F172" s="30" t="str">
        <f>IFERROR(VLOOKUP($C172,[20]Nod!$A$3:$E$988,4,FALSE)," ")</f>
        <v>CHO230</v>
      </c>
      <c r="G172" s="30">
        <f>IFERROR(VLOOKUP($C172,[20]Nod!$A$3:$E$988,5,FALSE)," ")</f>
        <v>6</v>
      </c>
      <c r="L172" s="278"/>
      <c r="M172" s="278"/>
    </row>
    <row r="173" spans="1:13" ht="15" customHeight="1">
      <c r="A173" s="343" t="s">
        <v>285</v>
      </c>
      <c r="B173" s="344" t="s">
        <v>156</v>
      </c>
      <c r="C173" s="467">
        <v>6005</v>
      </c>
      <c r="D173" s="487">
        <v>19.8</v>
      </c>
      <c r="E173" s="351">
        <v>0</v>
      </c>
      <c r="F173" s="30" t="str">
        <f>IFERROR(VLOOKUP($C173,[20]Nod!$A$3:$E$988,4,FALSE)," ")</f>
        <v>CHO230</v>
      </c>
      <c r="G173" s="30">
        <f>IFERROR(VLOOKUP($C173,[20]Nod!$A$3:$E$988,5,FALSE)," ")</f>
        <v>6</v>
      </c>
      <c r="L173" s="278"/>
      <c r="M173" s="278"/>
    </row>
    <row r="174" spans="1:13" ht="15" customHeight="1">
      <c r="A174" s="343" t="s">
        <v>286</v>
      </c>
      <c r="B174" s="344" t="s">
        <v>156</v>
      </c>
      <c r="C174" s="467">
        <v>6005</v>
      </c>
      <c r="D174" s="522"/>
      <c r="E174" s="351">
        <v>0</v>
      </c>
      <c r="F174" s="30" t="str">
        <f>IFERROR(VLOOKUP($C174,[20]Nod!$A$3:$E$988,4,FALSE)," ")</f>
        <v>CHO230</v>
      </c>
      <c r="G174" s="30">
        <f>IFERROR(VLOOKUP($C174,[20]Nod!$A$3:$E$988,5,FALSE)," ")</f>
        <v>6</v>
      </c>
      <c r="L174" s="278"/>
      <c r="M174" s="278"/>
    </row>
    <row r="175" spans="1:13" ht="15" customHeight="1">
      <c r="A175" s="346" t="s">
        <v>287</v>
      </c>
      <c r="B175" s="344" t="s">
        <v>156</v>
      </c>
      <c r="C175" s="467">
        <v>6005</v>
      </c>
      <c r="D175" s="526"/>
      <c r="E175" s="351">
        <v>0</v>
      </c>
      <c r="F175" s="30" t="str">
        <f>IFERROR(VLOOKUP($C175,[20]Nod!$A$3:$E$988,4,FALSE)," ")</f>
        <v>CHO230</v>
      </c>
      <c r="G175" s="30">
        <f>IFERROR(VLOOKUP($C175,[20]Nod!$A$3:$E$988,5,FALSE)," ")</f>
        <v>6</v>
      </c>
      <c r="L175" s="278"/>
      <c r="M175" s="278"/>
    </row>
    <row r="176" spans="1:13" ht="15" customHeight="1">
      <c r="A176" s="346" t="s">
        <v>288</v>
      </c>
      <c r="B176" s="344" t="s">
        <v>156</v>
      </c>
      <c r="C176" s="467">
        <v>6005</v>
      </c>
      <c r="D176" s="485">
        <v>9.9</v>
      </c>
      <c r="E176" s="351">
        <v>0</v>
      </c>
      <c r="F176" s="30" t="str">
        <f>IFERROR(VLOOKUP($C176,[20]Nod!$A$3:$E$988,4,FALSE)," ")</f>
        <v>CHO230</v>
      </c>
      <c r="G176" s="30">
        <f>IFERROR(VLOOKUP($C176,[20]Nod!$A$3:$E$988,5,FALSE)," ")</f>
        <v>6</v>
      </c>
      <c r="L176" s="278"/>
      <c r="M176" s="278"/>
    </row>
    <row r="177" spans="1:13" ht="15" customHeight="1">
      <c r="A177" s="346" t="s">
        <v>289</v>
      </c>
      <c r="B177" s="344" t="s">
        <v>156</v>
      </c>
      <c r="C177" s="467">
        <v>6005</v>
      </c>
      <c r="D177" s="526"/>
      <c r="E177" s="351">
        <v>0</v>
      </c>
      <c r="F177" s="30" t="str">
        <f>IFERROR(VLOOKUP($C177,[20]Nod!$A$3:$E$988,4,FALSE)," ")</f>
        <v>CHO230</v>
      </c>
      <c r="G177" s="30">
        <f>IFERROR(VLOOKUP($C177,[20]Nod!$A$3:$E$988,5,FALSE)," ")</f>
        <v>6</v>
      </c>
      <c r="L177" s="278"/>
      <c r="M177" s="278"/>
    </row>
    <row r="178" spans="1:13" ht="15" customHeight="1">
      <c r="A178" s="346" t="s">
        <v>290</v>
      </c>
      <c r="B178" s="344" t="s">
        <v>156</v>
      </c>
      <c r="C178" s="467">
        <v>6005</v>
      </c>
      <c r="D178" s="485">
        <v>9.9</v>
      </c>
      <c r="E178" s="351">
        <v>0</v>
      </c>
      <c r="F178" s="30" t="str">
        <f>IFERROR(VLOOKUP($C178,[20]Nod!$A$3:$E$988,4,FALSE)," ")</f>
        <v>CHO230</v>
      </c>
      <c r="G178" s="30">
        <f>IFERROR(VLOOKUP($C178,[20]Nod!$A$3:$E$988,5,FALSE)," ")</f>
        <v>6</v>
      </c>
      <c r="L178" s="278"/>
      <c r="M178" s="278"/>
    </row>
    <row r="179" spans="1:13" ht="15" customHeight="1">
      <c r="A179" s="343" t="s">
        <v>291</v>
      </c>
      <c r="B179" s="344" t="s">
        <v>250</v>
      </c>
      <c r="C179" s="353">
        <v>6830</v>
      </c>
      <c r="D179" s="483">
        <v>66</v>
      </c>
      <c r="E179" s="351">
        <v>0</v>
      </c>
      <c r="F179" s="30" t="str">
        <f>IFERROR(VLOOKUP($C179,[20]Nod!$A$3:$E$988,4,FALSE)," ")</f>
        <v>ANT230</v>
      </c>
      <c r="G179" s="30">
        <f>IFERROR(VLOOKUP($C179,[20]Nod!$A$3:$E$988,5,FALSE)," ")</f>
        <v>6</v>
      </c>
      <c r="L179" s="278"/>
      <c r="M179" s="278"/>
    </row>
    <row r="180" spans="1:13" ht="15" customHeight="1">
      <c r="A180" s="343" t="s">
        <v>336</v>
      </c>
      <c r="B180" s="344" t="s">
        <v>250</v>
      </c>
      <c r="C180" s="352">
        <v>6830</v>
      </c>
      <c r="D180" s="483">
        <v>21.6</v>
      </c>
      <c r="E180" s="351">
        <v>0</v>
      </c>
      <c r="F180" s="30" t="str">
        <f>IFERROR(VLOOKUP($C180,[20]Nod!$A$3:$E$988,4,FALSE)," ")</f>
        <v>ANT230</v>
      </c>
      <c r="G180" s="30">
        <f>IFERROR(VLOOKUP($C180,[20]Nod!$A$3:$E$988,5,FALSE)," ")</f>
        <v>6</v>
      </c>
      <c r="L180" s="278"/>
      <c r="M180" s="278"/>
    </row>
    <row r="181" spans="1:13" ht="15" customHeight="1">
      <c r="A181" s="343" t="s">
        <v>337</v>
      </c>
      <c r="B181" s="344" t="s">
        <v>250</v>
      </c>
      <c r="C181" s="352">
        <v>6830</v>
      </c>
      <c r="D181" s="483">
        <v>22.4</v>
      </c>
      <c r="E181" s="351">
        <v>0</v>
      </c>
      <c r="F181" s="30" t="str">
        <f>IFERROR(VLOOKUP($C181,[20]Nod!$A$3:$E$988,4,FALSE)," ")</f>
        <v>ANT230</v>
      </c>
      <c r="G181" s="30">
        <f>IFERROR(VLOOKUP($C181,[20]Nod!$A$3:$E$988,5,FALSE)," ")</f>
        <v>6</v>
      </c>
      <c r="L181" s="278"/>
      <c r="M181" s="278"/>
    </row>
    <row r="182" spans="1:13" ht="15" customHeight="1">
      <c r="A182" s="346" t="s">
        <v>292</v>
      </c>
      <c r="B182" s="344" t="s">
        <v>156</v>
      </c>
      <c r="C182" s="352">
        <v>6240</v>
      </c>
      <c r="D182" s="483">
        <v>9</v>
      </c>
      <c r="E182" s="351">
        <v>0</v>
      </c>
      <c r="F182" s="30" t="str">
        <f>IFERROR(VLOOKUP($C182,[20]Nod!$A$3:$E$988,4,FALSE)," ")</f>
        <v>EHIG230</v>
      </c>
      <c r="G182" s="30">
        <f>IFERROR(VLOOKUP($C182,[20]Nod!$A$3:$E$988,5,FALSE)," ")</f>
        <v>6</v>
      </c>
      <c r="L182" s="278"/>
      <c r="M182" s="278"/>
    </row>
    <row r="183" spans="1:13" ht="15" customHeight="1">
      <c r="A183" s="343" t="s">
        <v>338</v>
      </c>
      <c r="B183" s="344" t="s">
        <v>156</v>
      </c>
      <c r="C183" s="353">
        <v>6240</v>
      </c>
      <c r="D183" s="522"/>
      <c r="E183" s="351">
        <v>0</v>
      </c>
      <c r="F183" s="30" t="str">
        <f>IFERROR(VLOOKUP($C183,[20]Nod!$A$3:$E$988,4,FALSE)," ")</f>
        <v>EHIG230</v>
      </c>
      <c r="G183" s="30">
        <f>IFERROR(VLOOKUP($C183,[20]Nod!$A$3:$E$988,5,FALSE)," ")</f>
        <v>6</v>
      </c>
      <c r="L183" s="278"/>
      <c r="M183" s="278"/>
    </row>
    <row r="184" spans="1:13" ht="15" customHeight="1">
      <c r="A184" s="343" t="s">
        <v>293</v>
      </c>
      <c r="B184" s="344" t="s">
        <v>156</v>
      </c>
      <c r="C184" s="352">
        <v>6240</v>
      </c>
      <c r="D184" s="483">
        <v>9.9600000000000009</v>
      </c>
      <c r="E184" s="351">
        <v>0</v>
      </c>
      <c r="F184" s="30" t="str">
        <f>IFERROR(VLOOKUP($C184,[20]Nod!$A$3:$E$988,4,FALSE)," ")</f>
        <v>EHIG230</v>
      </c>
      <c r="G184" s="30">
        <f>IFERROR(VLOOKUP($C184,[20]Nod!$A$3:$E$988,5,FALSE)," ")</f>
        <v>6</v>
      </c>
      <c r="L184" s="278"/>
      <c r="M184" s="278"/>
    </row>
    <row r="185" spans="1:13" ht="15" customHeight="1">
      <c r="A185" s="343" t="s">
        <v>339</v>
      </c>
      <c r="B185" s="344" t="s">
        <v>156</v>
      </c>
      <c r="C185" s="353">
        <v>6240</v>
      </c>
      <c r="D185" s="483">
        <v>9.9</v>
      </c>
      <c r="E185" s="351">
        <v>0</v>
      </c>
      <c r="F185" s="30" t="str">
        <f>IFERROR(VLOOKUP($C185,[20]Nod!$A$3:$E$988,4,FALSE)," ")</f>
        <v>EHIG230</v>
      </c>
      <c r="G185" s="30">
        <f>IFERROR(VLOOKUP($C185,[20]Nod!$A$3:$E$988,5,FALSE)," ")</f>
        <v>6</v>
      </c>
      <c r="L185" s="278"/>
      <c r="M185" s="278"/>
    </row>
    <row r="186" spans="1:13" ht="15" customHeight="1">
      <c r="A186" s="347" t="s">
        <v>294</v>
      </c>
      <c r="B186" s="344" t="s">
        <v>250</v>
      </c>
      <c r="C186" s="352">
        <v>6830</v>
      </c>
      <c r="D186" s="353">
        <v>126</v>
      </c>
      <c r="E186" s="353">
        <v>0</v>
      </c>
      <c r="F186" s="30" t="str">
        <f>IFERROR(VLOOKUP($C186,[20]Nod!$A$3:$E$988,4,FALSE)," ")</f>
        <v>ANT230</v>
      </c>
      <c r="G186" s="30">
        <f>IFERROR(VLOOKUP($C186,[20]Nod!$A$3:$E$988,5,FALSE)," ")</f>
        <v>6</v>
      </c>
      <c r="L186" s="278"/>
      <c r="M186" s="278"/>
    </row>
    <row r="187" spans="1:13" ht="15" customHeight="1">
      <c r="A187" s="39" t="s">
        <v>31</v>
      </c>
      <c r="B187" s="3"/>
      <c r="C187" s="38"/>
      <c r="D187" s="302"/>
      <c r="E187" s="298"/>
      <c r="F187" s="30" t="str">
        <f>IFERROR(VLOOKUP($C187,[20]Nod!$A$3:$E$988,4,FALSE)," ")</f>
        <v xml:space="preserve"> </v>
      </c>
      <c r="G187" s="30" t="str">
        <f>IFERROR(VLOOKUP($C187,[20]Nod!$A$3:$E$988,5,FALSE)," ")</f>
        <v xml:space="preserve"> </v>
      </c>
      <c r="L187" s="278"/>
      <c r="M187" s="278"/>
    </row>
    <row r="188" spans="1:13" ht="15" customHeight="1">
      <c r="A188" s="45">
        <v>7</v>
      </c>
      <c r="B188" s="42"/>
      <c r="C188" s="43"/>
      <c r="D188" s="488">
        <f>SUM(D189:D191)</f>
        <v>153.13999999999999</v>
      </c>
      <c r="E188" s="294"/>
      <c r="F188" s="30" t="str">
        <f>IFERROR(VLOOKUP($C188,[20]Nod!$A$3:$E$988,4,FALSE)," ")</f>
        <v xml:space="preserve"> </v>
      </c>
      <c r="G188" s="30" t="str">
        <f>IFERROR(VLOOKUP($C188,[20]Nod!$A$3:$E$988,5,FALSE)," ")</f>
        <v xml:space="preserve"> </v>
      </c>
      <c r="L188" s="278"/>
      <c r="M188" s="278"/>
    </row>
    <row r="189" spans="1:13" ht="15" customHeight="1">
      <c r="A189" s="343" t="s">
        <v>295</v>
      </c>
      <c r="B189" s="344" t="s">
        <v>150</v>
      </c>
      <c r="C189" s="349">
        <v>6018</v>
      </c>
      <c r="D189" s="353">
        <v>99.61</v>
      </c>
      <c r="E189" s="351">
        <v>0</v>
      </c>
      <c r="F189" s="30" t="str">
        <f>IFERROR(VLOOKUP($C189,[20]Nod!$A$3:$E$988,4,FALSE)," ")</f>
        <v>CAC115</v>
      </c>
      <c r="G189" s="30">
        <f>IFERROR(VLOOKUP($C189,[20]Nod!$A$3:$E$988,5,FALSE)," ")</f>
        <v>7</v>
      </c>
      <c r="L189" s="278"/>
      <c r="M189" s="278"/>
    </row>
    <row r="190" spans="1:13" ht="15" customHeight="1">
      <c r="A190" s="343" t="s">
        <v>296</v>
      </c>
      <c r="B190" s="344" t="s">
        <v>212</v>
      </c>
      <c r="C190" s="349">
        <v>6171</v>
      </c>
      <c r="D190" s="353">
        <v>53.53</v>
      </c>
      <c r="E190" s="351">
        <v>0</v>
      </c>
      <c r="F190" s="30" t="str">
        <f>IFERROR(VLOOKUP($C190,[20]Nod!$A$3:$E$988,4,FALSE)," ")</f>
        <v>PAC230</v>
      </c>
      <c r="G190" s="30">
        <f>IFERROR(VLOOKUP($C190,[20]Nod!$A$3:$E$988,5,FALSE)," ")</f>
        <v>7</v>
      </c>
      <c r="L190" s="278"/>
      <c r="M190" s="278"/>
    </row>
    <row r="191" spans="1:13" ht="15" customHeight="1">
      <c r="A191" s="343" t="s">
        <v>350</v>
      </c>
      <c r="B191" s="344" t="s">
        <v>212</v>
      </c>
      <c r="C191" s="349">
        <v>6018</v>
      </c>
      <c r="D191" s="482"/>
      <c r="E191" s="351">
        <v>0</v>
      </c>
      <c r="F191" s="30" t="str">
        <f>IFERROR(VLOOKUP($C191,[20]Nod!$A$3:$E$988,4,FALSE)," ")</f>
        <v>CAC115</v>
      </c>
      <c r="G191" s="30">
        <f>IFERROR(VLOOKUP($C191,[20]Nod!$A$3:$E$988,5,FALSE)," ")</f>
        <v>7</v>
      </c>
      <c r="L191" s="278"/>
      <c r="M191" s="278"/>
    </row>
    <row r="192" spans="1:13" ht="15" customHeight="1">
      <c r="A192" s="39" t="s">
        <v>31</v>
      </c>
      <c r="B192" s="3"/>
      <c r="C192" s="38"/>
      <c r="D192" s="302"/>
      <c r="E192" s="298"/>
      <c r="F192" s="30" t="str">
        <f>IFERROR(VLOOKUP($C192,[20]Nod!$A$3:$E$988,4,FALSE)," ")</f>
        <v xml:space="preserve"> </v>
      </c>
      <c r="L192" s="278"/>
      <c r="M192" s="278"/>
    </row>
    <row r="193" spans="1:13" ht="15" customHeight="1">
      <c r="A193" s="45">
        <v>8</v>
      </c>
      <c r="B193" s="42"/>
      <c r="C193" s="43"/>
      <c r="D193" s="488">
        <f>SUM(D194)</f>
        <v>260</v>
      </c>
      <c r="E193" s="294"/>
      <c r="F193" s="30" t="str">
        <f>IFERROR(VLOOKUP($C193,[20]Nod!$A$3:$E$988,4,FALSE)," ")</f>
        <v xml:space="preserve"> </v>
      </c>
      <c r="G193" s="30" t="str">
        <f>IFERROR(VLOOKUP($C193,[20]Nod!$A$3:$E$988,5,FALSE)," ")</f>
        <v xml:space="preserve"> </v>
      </c>
      <c r="L193" s="278"/>
      <c r="M193" s="278"/>
    </row>
    <row r="194" spans="1:13" ht="15" customHeight="1">
      <c r="A194" s="355" t="s">
        <v>297</v>
      </c>
      <c r="B194" s="344" t="s">
        <v>150</v>
      </c>
      <c r="C194" s="349">
        <v>6100</v>
      </c>
      <c r="D194" s="353">
        <v>260</v>
      </c>
      <c r="E194" s="351">
        <v>0</v>
      </c>
      <c r="F194" s="30" t="str">
        <f>IFERROR(VLOOKUP($C194,[20]Nod!$A$3:$E$988,4,FALSE)," ")</f>
        <v>BAY230</v>
      </c>
      <c r="G194" s="30">
        <f>IFERROR(VLOOKUP($C194,[20]Nod!$A$3:$E$988,5,FALSE)," ")</f>
        <v>8</v>
      </c>
      <c r="L194" s="278"/>
      <c r="M194" s="278"/>
    </row>
    <row r="195" spans="1:13" ht="15" customHeight="1">
      <c r="A195" s="39" t="s">
        <v>31</v>
      </c>
      <c r="B195" s="40"/>
      <c r="C195" s="41"/>
      <c r="D195" s="302"/>
      <c r="E195" s="310"/>
      <c r="F195" s="30" t="str">
        <f>IFERROR(VLOOKUP($C195,[20]Nod!$A$3:$E$988,4,FALSE)," ")</f>
        <v xml:space="preserve"> </v>
      </c>
      <c r="G195" s="30" t="str">
        <f>IFERROR(VLOOKUP($C195,[20]Nod!$A$3:$E$988,5,FALSE)," ")</f>
        <v xml:space="preserve"> </v>
      </c>
      <c r="L195" s="278"/>
      <c r="M195" s="278"/>
    </row>
    <row r="196" spans="1:13" ht="15" customHeight="1">
      <c r="A196" s="45">
        <v>9</v>
      </c>
      <c r="B196" s="59"/>
      <c r="C196" s="60"/>
      <c r="D196" s="488">
        <f>SUM(D197:D202)</f>
        <v>1376.25</v>
      </c>
      <c r="E196" s="312"/>
      <c r="F196" s="30" t="str">
        <f>IFERROR(VLOOKUP($C196,[20]Nod!$A$3:$E$988,4,FALSE)," ")</f>
        <v xml:space="preserve"> </v>
      </c>
      <c r="G196" s="30" t="str">
        <f>IFERROR(VLOOKUP($C196,[20]Nod!$A$3:$E$988,5,FALSE)," ")</f>
        <v xml:space="preserve"> </v>
      </c>
      <c r="L196" s="278"/>
      <c r="M196" s="278"/>
    </row>
    <row r="197" spans="1:13" ht="15" customHeight="1">
      <c r="A197" s="343" t="s">
        <v>298</v>
      </c>
      <c r="B197" s="344" t="s">
        <v>212</v>
      </c>
      <c r="C197" s="349">
        <v>6059</v>
      </c>
      <c r="D197" s="353">
        <v>121</v>
      </c>
      <c r="E197" s="351">
        <v>0</v>
      </c>
      <c r="F197" s="30" t="str">
        <f>IFERROR(VLOOKUP($C197,[20]Nod!$A$3:$E$988,4,FALSE)," ")</f>
        <v>LM1115</v>
      </c>
      <c r="G197" s="30">
        <f>IFERROR(VLOOKUP($C197,[20]Nod!$A$3:$E$988,5,FALSE)," ")</f>
        <v>9</v>
      </c>
      <c r="L197" s="278"/>
      <c r="M197" s="278"/>
    </row>
    <row r="198" spans="1:13" ht="15" customHeight="1">
      <c r="A198" s="343" t="s">
        <v>299</v>
      </c>
      <c r="B198" s="344" t="s">
        <v>212</v>
      </c>
      <c r="C198" s="349">
        <v>6059</v>
      </c>
      <c r="D198" s="353">
        <v>150</v>
      </c>
      <c r="E198" s="351">
        <v>0</v>
      </c>
      <c r="F198" s="30" t="str">
        <f>IFERROR(VLOOKUP($C198,[20]Nod!$A$3:$E$988,4,FALSE)," ")</f>
        <v>LM1115</v>
      </c>
      <c r="G198" s="30">
        <f>IFERROR(VLOOKUP($C198,[20]Nod!$A$3:$E$988,5,FALSE)," ")</f>
        <v>9</v>
      </c>
      <c r="L198" s="278"/>
      <c r="M198" s="278"/>
    </row>
    <row r="199" spans="1:13" ht="15" customHeight="1">
      <c r="A199" s="343" t="s">
        <v>300</v>
      </c>
      <c r="B199" s="344" t="s">
        <v>212</v>
      </c>
      <c r="C199" s="349">
        <v>6059</v>
      </c>
      <c r="D199" s="353">
        <v>381</v>
      </c>
      <c r="E199" s="351">
        <v>0</v>
      </c>
      <c r="F199" s="30" t="str">
        <f>IFERROR(VLOOKUP($C199,[20]Nod!$A$3:$E$988,4,FALSE)," ")</f>
        <v>LM1115</v>
      </c>
      <c r="G199" s="30">
        <f>IFERROR(VLOOKUP($C199,[20]Nod!$A$3:$E$988,5,FALSE)," ")</f>
        <v>9</v>
      </c>
      <c r="L199" s="278"/>
      <c r="M199" s="278"/>
    </row>
    <row r="200" spans="1:13" ht="15" customHeight="1">
      <c r="A200" s="343" t="s">
        <v>301</v>
      </c>
      <c r="B200" s="344" t="s">
        <v>212</v>
      </c>
      <c r="C200" s="349">
        <v>6173</v>
      </c>
      <c r="D200" s="353">
        <v>5.05</v>
      </c>
      <c r="E200" s="351">
        <v>0</v>
      </c>
      <c r="F200" s="30" t="str">
        <f>IFERROR(VLOOKUP($C200,[20]Nod!$A$3:$E$988,4,FALSE)," ")</f>
        <v>STR115</v>
      </c>
      <c r="G200" s="30">
        <f>IFERROR(VLOOKUP($C200,[20]Nod!$A$3:$E$988,5,FALSE)," ")</f>
        <v>9</v>
      </c>
      <c r="L200" s="278"/>
      <c r="M200" s="278"/>
    </row>
    <row r="201" spans="1:13" ht="15" customHeight="1">
      <c r="A201" s="343" t="s">
        <v>302</v>
      </c>
      <c r="B201" s="344" t="s">
        <v>212</v>
      </c>
      <c r="C201" s="349">
        <v>6173</v>
      </c>
      <c r="D201" s="353">
        <v>49.2</v>
      </c>
      <c r="E201" s="351">
        <v>0</v>
      </c>
      <c r="F201" s="30" t="str">
        <f>IFERROR(VLOOKUP($C201,[20]Nod!$A$3:$E$988,4,FALSE)," ")</f>
        <v>STR115</v>
      </c>
      <c r="G201" s="30">
        <f>IFERROR(VLOOKUP($C201,[20]Nod!$A$3:$E$988,5,FALSE)," ")</f>
        <v>9</v>
      </c>
      <c r="L201" s="278"/>
      <c r="M201" s="278"/>
    </row>
    <row r="202" spans="1:13" ht="15" customHeight="1">
      <c r="A202" s="343" t="s">
        <v>303</v>
      </c>
      <c r="B202" s="344" t="s">
        <v>212</v>
      </c>
      <c r="C202" s="349">
        <v>6059</v>
      </c>
      <c r="D202" s="353">
        <v>670</v>
      </c>
      <c r="E202" s="351">
        <v>0</v>
      </c>
      <c r="F202" s="30" t="str">
        <f>IFERROR(VLOOKUP($C202,[20]Nod!$A$3:$E$988,4,FALSE)," ")</f>
        <v>LM1115</v>
      </c>
      <c r="G202" s="30">
        <f>IFERROR(VLOOKUP($C202,[20]Nod!$A$3:$E$988,5,FALSE)," ")</f>
        <v>9</v>
      </c>
      <c r="L202" s="278"/>
      <c r="M202" s="278"/>
    </row>
    <row r="203" spans="1:13" ht="15" customHeight="1">
      <c r="A203" s="39" t="s">
        <v>31</v>
      </c>
      <c r="B203" s="3"/>
      <c r="C203" s="38"/>
      <c r="D203" s="302"/>
      <c r="E203" s="298"/>
      <c r="F203" s="30" t="str">
        <f>IFERROR(VLOOKUP($C203,[20]Nod!$A$3:$E$988,4,FALSE)," ")</f>
        <v xml:space="preserve"> </v>
      </c>
      <c r="G203" s="30" t="str">
        <f>IFERROR(VLOOKUP($C203,[20]Nod!$A$3:$E$988,5,FALSE)," ")</f>
        <v xml:space="preserve"> </v>
      </c>
      <c r="L203" s="278"/>
      <c r="M203" s="278"/>
    </row>
    <row r="204" spans="1:13" ht="15" customHeight="1">
      <c r="A204" s="45">
        <v>10</v>
      </c>
      <c r="B204" s="59"/>
      <c r="C204" s="61"/>
      <c r="D204" s="488">
        <f>SUM(D205:D206)</f>
        <v>254.8</v>
      </c>
      <c r="E204" s="294"/>
      <c r="F204" s="30" t="str">
        <f>IFERROR(VLOOKUP($C204,[20]Nod!$A$3:$E$988,4,FALSE)," ")</f>
        <v xml:space="preserve"> </v>
      </c>
      <c r="G204" s="30" t="str">
        <f>IFERROR(VLOOKUP($C204,[20]Nod!$A$3:$E$988,5,FALSE)," ")</f>
        <v xml:space="preserve"> </v>
      </c>
      <c r="L204" s="278"/>
      <c r="M204" s="278"/>
    </row>
    <row r="205" spans="1:13" ht="15" customHeight="1">
      <c r="A205" s="356" t="s">
        <v>304</v>
      </c>
      <c r="B205" s="344" t="s">
        <v>150</v>
      </c>
      <c r="C205" s="349">
        <v>6263</v>
      </c>
      <c r="D205" s="452">
        <v>223</v>
      </c>
      <c r="E205" s="351">
        <v>0</v>
      </c>
      <c r="F205" s="30" t="str">
        <f>IFERROR(VLOOKUP($C205,[20]Nod!$A$3:$E$988,4,FALSE)," ")</f>
        <v>ESP230</v>
      </c>
      <c r="G205" s="30">
        <f>IFERROR(VLOOKUP($C205,[20]Nod!$A$3:$E$988,5,FALSE)," ")</f>
        <v>10</v>
      </c>
      <c r="L205" s="278"/>
      <c r="M205" s="278"/>
    </row>
    <row r="206" spans="1:13" ht="15" customHeight="1">
      <c r="A206" s="356" t="s">
        <v>305</v>
      </c>
      <c r="B206" s="344" t="s">
        <v>150</v>
      </c>
      <c r="C206" s="349">
        <v>6263</v>
      </c>
      <c r="D206" s="452">
        <v>31.8</v>
      </c>
      <c r="E206" s="351">
        <v>0</v>
      </c>
      <c r="F206" s="30" t="str">
        <f>IFERROR(VLOOKUP($C206,[20]Nod!$A$3:$E$988,4,FALSE)," ")</f>
        <v>ESP230</v>
      </c>
      <c r="G206" s="30">
        <f>IFERROR(VLOOKUP($C206,[20]Nod!$A$3:$E$988,5,FALSE)," ")</f>
        <v>10</v>
      </c>
      <c r="L206" s="278"/>
      <c r="M206" s="278"/>
    </row>
    <row r="207" spans="1:13" ht="15" customHeight="1">
      <c r="A207" s="57" t="s">
        <v>31</v>
      </c>
      <c r="B207" s="40"/>
      <c r="C207" s="41"/>
      <c r="D207" s="302"/>
      <c r="E207" s="310"/>
      <c r="F207" s="3"/>
      <c r="G207" s="3"/>
      <c r="L207" s="278"/>
      <c r="M207" s="278"/>
    </row>
    <row r="208" spans="1:13" ht="15" customHeight="1">
      <c r="L208" s="278"/>
      <c r="M208" s="278"/>
    </row>
    <row r="209" spans="1:19" ht="15" customHeight="1">
      <c r="A209" s="530" t="s">
        <v>306</v>
      </c>
      <c r="B209" s="531"/>
      <c r="C209" s="531"/>
      <c r="D209" s="531"/>
      <c r="E209" s="531"/>
      <c r="F209" s="531"/>
      <c r="G209" s="531"/>
      <c r="L209" s="278"/>
      <c r="M209" s="278"/>
      <c r="S209" s="292"/>
    </row>
    <row r="210" spans="1:19" ht="15" customHeight="1">
      <c r="A210" s="530" t="s">
        <v>307</v>
      </c>
      <c r="B210" s="531"/>
      <c r="C210" s="531"/>
      <c r="D210" s="531"/>
      <c r="E210" s="531"/>
      <c r="F210" s="531"/>
      <c r="G210" s="531"/>
      <c r="L210" s="278"/>
      <c r="M210" s="278"/>
    </row>
    <row r="211" spans="1:19" ht="15" customHeight="1">
      <c r="A211" s="530" t="s">
        <v>308</v>
      </c>
      <c r="B211" s="531"/>
      <c r="C211" s="531"/>
      <c r="D211" s="531"/>
      <c r="E211" s="531"/>
      <c r="F211" s="531"/>
      <c r="G211" s="531"/>
      <c r="L211" s="278"/>
      <c r="M211" s="278"/>
    </row>
    <row r="212" spans="1:19" ht="15" customHeight="1">
      <c r="A212" s="530" t="s">
        <v>309</v>
      </c>
      <c r="B212" s="531"/>
      <c r="C212" s="531"/>
      <c r="D212" s="531"/>
      <c r="E212" s="531"/>
      <c r="F212" s="531"/>
      <c r="G212" s="531"/>
      <c r="L212" s="278"/>
      <c r="M212" s="278"/>
    </row>
    <row r="213" spans="1:19" ht="15" customHeight="1">
      <c r="A213" s="530" t="s">
        <v>310</v>
      </c>
      <c r="B213" s="531"/>
      <c r="C213" s="531"/>
      <c r="D213" s="531"/>
      <c r="E213" s="531"/>
      <c r="F213" s="531"/>
      <c r="G213" s="531"/>
      <c r="L213" s="278"/>
      <c r="M213" s="278"/>
    </row>
    <row r="214" spans="1:19" ht="15" customHeight="1">
      <c r="F214" s="278"/>
      <c r="G214" s="278"/>
      <c r="L214" s="278"/>
      <c r="M214" s="278"/>
    </row>
    <row r="215" spans="1:19" ht="15" customHeight="1">
      <c r="F215" s="278"/>
      <c r="G215" s="278"/>
      <c r="L215" s="278"/>
      <c r="M215" s="278"/>
    </row>
    <row r="216" spans="1:19" ht="15" customHeight="1">
      <c r="F216" s="278"/>
      <c r="G216" s="278"/>
      <c r="L216" s="278"/>
      <c r="M216" s="278"/>
    </row>
    <row r="217" spans="1:19" ht="15" customHeight="1">
      <c r="F217" s="278"/>
      <c r="G217" s="278"/>
      <c r="L217" s="278"/>
      <c r="M217" s="278"/>
    </row>
    <row r="218" spans="1:19" ht="15" customHeight="1">
      <c r="F218" s="278"/>
      <c r="G218" s="278"/>
      <c r="L218" s="278"/>
      <c r="M218" s="278"/>
    </row>
    <row r="219" spans="1:19" ht="15" customHeight="1">
      <c r="F219" s="278"/>
      <c r="G219" s="278"/>
      <c r="L219" s="278"/>
      <c r="M219" s="278"/>
    </row>
    <row r="220" spans="1:19" ht="15" customHeight="1">
      <c r="F220" s="278"/>
      <c r="G220" s="278"/>
      <c r="L220" s="278"/>
      <c r="M220" s="278"/>
    </row>
    <row r="221" spans="1:19" ht="15" customHeight="1">
      <c r="F221" s="278"/>
      <c r="G221" s="278"/>
      <c r="L221" s="278"/>
      <c r="M221" s="278"/>
    </row>
    <row r="222" spans="1:19" ht="15" customHeight="1">
      <c r="F222" s="278"/>
      <c r="G222" s="278"/>
      <c r="L222" s="278"/>
      <c r="M222" s="278"/>
    </row>
    <row r="223" spans="1:19" ht="15" customHeight="1">
      <c r="F223" s="278"/>
      <c r="G223" s="278"/>
      <c r="L223" s="278"/>
      <c r="M223" s="278"/>
    </row>
    <row r="224" spans="1:19" ht="15" customHeight="1">
      <c r="F224" s="278"/>
      <c r="G224" s="278"/>
      <c r="L224" s="278"/>
      <c r="M224" s="278"/>
    </row>
    <row r="225" spans="6:13" ht="15" customHeight="1">
      <c r="F225" s="278"/>
      <c r="G225" s="278"/>
      <c r="L225" s="278"/>
      <c r="M225" s="278"/>
    </row>
    <row r="226" spans="6:13" ht="15" customHeight="1">
      <c r="F226" s="278"/>
      <c r="G226" s="278"/>
      <c r="L226" s="278"/>
      <c r="M226" s="278"/>
    </row>
    <row r="227" spans="6:13" ht="15" customHeight="1">
      <c r="F227" s="278"/>
      <c r="G227" s="278"/>
      <c r="L227" s="278"/>
      <c r="M227" s="278"/>
    </row>
    <row r="228" spans="6:13" ht="15" customHeight="1">
      <c r="F228" s="278"/>
      <c r="G228" s="278"/>
      <c r="L228" s="278"/>
      <c r="M228" s="278"/>
    </row>
    <row r="229" spans="6:13" ht="15" customHeight="1">
      <c r="F229" s="278"/>
      <c r="G229" s="278"/>
      <c r="L229" s="278"/>
      <c r="M229" s="278"/>
    </row>
    <row r="230" spans="6:13" ht="15" customHeight="1">
      <c r="F230" s="278"/>
      <c r="G230" s="278"/>
      <c r="L230" s="278"/>
      <c r="M230" s="278"/>
    </row>
    <row r="231" spans="6:13" ht="15" customHeight="1">
      <c r="F231" s="278"/>
      <c r="G231" s="278"/>
      <c r="L231" s="278"/>
      <c r="M231" s="278"/>
    </row>
    <row r="232" spans="6:13" ht="15" customHeight="1">
      <c r="F232" s="278"/>
      <c r="G232" s="278"/>
      <c r="L232" s="278"/>
      <c r="M232" s="278"/>
    </row>
    <row r="233" spans="6:13" ht="15" customHeight="1">
      <c r="F233" s="278"/>
      <c r="G233" s="278"/>
      <c r="L233" s="278"/>
      <c r="M233" s="278"/>
    </row>
    <row r="234" spans="6:13" ht="15" customHeight="1">
      <c r="F234" s="278"/>
      <c r="G234" s="278"/>
    </row>
    <row r="235" spans="6:13" ht="15" customHeight="1">
      <c r="F235" s="278"/>
      <c r="G235" s="278"/>
    </row>
    <row r="236" spans="6:13" ht="15" customHeight="1">
      <c r="F236" s="278"/>
      <c r="G236" s="278"/>
    </row>
  </sheetData>
  <mergeCells count="6">
    <mergeCell ref="A213:G213"/>
    <mergeCell ref="A9:L9"/>
    <mergeCell ref="A209:G209"/>
    <mergeCell ref="A210:G210"/>
    <mergeCell ref="A211:G211"/>
    <mergeCell ref="A212:G212"/>
  </mergeCells>
  <conditionalFormatting sqref="B11:L12">
    <cfRule type="cellIs" dxfId="60" priority="9" operator="equal">
      <formula>0</formula>
    </cfRule>
  </conditionalFormatting>
  <conditionalFormatting sqref="E18:E35">
    <cfRule type="cellIs" dxfId="59" priority="4" operator="equal">
      <formula>0</formula>
    </cfRule>
  </conditionalFormatting>
  <conditionalFormatting sqref="E38:E55 E194:E195 E197:E202">
    <cfRule type="cellIs" dxfId="58" priority="6" operator="equal">
      <formula>0</formula>
    </cfRule>
  </conditionalFormatting>
  <conditionalFormatting sqref="E57">
    <cfRule type="cellIs" dxfId="57" priority="1" operator="equal">
      <formula>0</formula>
    </cfRule>
  </conditionalFormatting>
  <conditionalFormatting sqref="E59:E115">
    <cfRule type="cellIs" dxfId="56" priority="5" operator="equal">
      <formula>0</formula>
    </cfRule>
  </conditionalFormatting>
  <conditionalFormatting sqref="E118:E149 K127:K170 E167:E174 E183:E185 E187">
    <cfRule type="cellIs" dxfId="55" priority="10" operator="equal">
      <formula>0</formula>
    </cfRule>
  </conditionalFormatting>
  <conditionalFormatting sqref="E179:E181">
    <cfRule type="cellIs" dxfId="54" priority="3" operator="equal">
      <formula>0</formula>
    </cfRule>
  </conditionalFormatting>
  <conditionalFormatting sqref="E189:E192">
    <cfRule type="cellIs" dxfId="53" priority="2" operator="equal">
      <formula>0</formula>
    </cfRule>
  </conditionalFormatting>
  <conditionalFormatting sqref="M11:M12">
    <cfRule type="cellIs" dxfId="52" priority="7" stopIfTrue="1" operator="notEqual">
      <formula>L11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5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DB96D-0616-447A-A904-61C6D98DD891}">
  <sheetPr>
    <pageSetUpPr fitToPage="1"/>
  </sheetPr>
  <dimension ref="A2:AF37"/>
  <sheetViews>
    <sheetView showGridLines="0" tabSelected="1" zoomScale="70" zoomScaleNormal="70" workbookViewId="0">
      <selection activeCell="N38" sqref="N38"/>
    </sheetView>
  </sheetViews>
  <sheetFormatPr baseColWidth="10" defaultColWidth="11.42578125" defaultRowHeight="15.75"/>
  <cols>
    <col min="1" max="1" width="26.85546875" style="68" customWidth="1"/>
    <col min="2" max="2" width="12.140625" style="68" customWidth="1"/>
    <col min="3" max="3" width="14.140625" style="68" bestFit="1" customWidth="1"/>
    <col min="4" max="4" width="15.28515625" style="68" customWidth="1"/>
    <col min="5" max="7" width="14.140625" style="68" bestFit="1" customWidth="1"/>
    <col min="8" max="8" width="12.85546875" style="68" bestFit="1" customWidth="1"/>
    <col min="9" max="10" width="13.85546875" style="68" bestFit="1" customWidth="1"/>
    <col min="11" max="12" width="14.140625" style="68" bestFit="1" customWidth="1"/>
    <col min="13" max="13" width="15.85546875" style="91" bestFit="1" customWidth="1"/>
    <col min="14" max="15" width="15.85546875" style="68" bestFit="1" customWidth="1"/>
    <col min="16" max="16" width="9" style="68" customWidth="1"/>
    <col min="17" max="17" width="15.140625" style="68" customWidth="1"/>
    <col min="18" max="18" width="11.42578125" style="68"/>
    <col min="19" max="19" width="13.42578125" style="68" customWidth="1"/>
    <col min="20" max="20" width="13.7109375" style="68" customWidth="1"/>
    <col min="21" max="21" width="11.5703125" style="68" bestFit="1" customWidth="1"/>
    <col min="22" max="22" width="11.85546875" style="68" bestFit="1" customWidth="1"/>
    <col min="23" max="24" width="13.42578125" style="68" bestFit="1" customWidth="1"/>
    <col min="25" max="26" width="11.5703125" style="68" bestFit="1" customWidth="1"/>
    <col min="27" max="27" width="11.85546875" style="68" bestFit="1" customWidth="1"/>
    <col min="28" max="28" width="11.5703125" style="68" bestFit="1" customWidth="1"/>
    <col min="29" max="29" width="12.85546875" style="68" bestFit="1" customWidth="1"/>
    <col min="30" max="30" width="15.85546875" style="68" customWidth="1"/>
    <col min="31" max="16384" width="11.42578125" style="68"/>
  </cols>
  <sheetData>
    <row r="2" spans="1:32" ht="25.5" customHeight="1">
      <c r="A2" s="538" t="s">
        <v>148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67"/>
    </row>
    <row r="3" spans="1:32">
      <c r="A3" s="538" t="s">
        <v>313</v>
      </c>
      <c r="B3" s="538"/>
      <c r="C3" s="538"/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67"/>
    </row>
    <row r="4" spans="1:32" s="70" customFormat="1" ht="21.75" customHeight="1">
      <c r="A4" s="538" t="s">
        <v>312</v>
      </c>
      <c r="B4" s="538"/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69"/>
    </row>
    <row r="5" spans="1:32">
      <c r="A5" s="538" t="s">
        <v>61</v>
      </c>
      <c r="B5" s="538"/>
      <c r="C5" s="538"/>
      <c r="D5" s="538"/>
      <c r="E5" s="538"/>
      <c r="F5" s="538"/>
      <c r="G5" s="538"/>
      <c r="H5" s="538"/>
      <c r="I5" s="538"/>
      <c r="J5" s="538"/>
      <c r="K5" s="538"/>
      <c r="L5" s="538"/>
      <c r="M5" s="538"/>
      <c r="N5" s="67"/>
    </row>
    <row r="6" spans="1:32" ht="21" customHeight="1" thickBot="1">
      <c r="A6" s="71" t="s">
        <v>62</v>
      </c>
      <c r="B6" s="71"/>
      <c r="C6" s="71">
        <v>1</v>
      </c>
      <c r="D6" s="71">
        <v>2</v>
      </c>
      <c r="E6" s="71">
        <v>3</v>
      </c>
      <c r="F6" s="71">
        <v>4</v>
      </c>
      <c r="G6" s="71">
        <v>5</v>
      </c>
      <c r="H6" s="71">
        <v>6</v>
      </c>
      <c r="I6" s="71">
        <v>7</v>
      </c>
      <c r="J6" s="71">
        <v>8</v>
      </c>
      <c r="K6" s="71">
        <v>9</v>
      </c>
      <c r="L6" s="71">
        <v>10</v>
      </c>
      <c r="M6" s="71" t="s">
        <v>20</v>
      </c>
      <c r="N6" s="72"/>
    </row>
    <row r="7" spans="1:32" ht="20.25" customHeight="1" thickTop="1" thickBot="1">
      <c r="A7" s="73" t="s">
        <v>63</v>
      </c>
      <c r="B7" s="74" t="s">
        <v>64</v>
      </c>
      <c r="C7" s="75">
        <f>'CUSPT AÑO 1 '!B54+'CUSPT AÑO 1 '!B57</f>
        <v>5272.6869271520054</v>
      </c>
      <c r="D7" s="75">
        <f>'CUSPT AÑO 1 '!C54+'CUSPT AÑO 1 '!C57</f>
        <v>11215.353425762009</v>
      </c>
      <c r="E7" s="75">
        <f>'CUSPT AÑO 1 '!D54+'CUSPT AÑO 1 '!D57</f>
        <v>4303.4190375197322</v>
      </c>
      <c r="F7" s="75">
        <f>'CUSPT AÑO 1 '!E54+'CUSPT AÑO 1 '!E57</f>
        <v>11815.385988555037</v>
      </c>
      <c r="G7" s="75">
        <f>'CUSPT AÑO 1 '!F54+'CUSPT AÑO 1 '!F57</f>
        <v>6949.4890257144561</v>
      </c>
      <c r="H7" s="75">
        <f>'CUSPT AÑO 1 '!G54+'CUSPT AÑO 1 '!G57</f>
        <v>2264.3113523158427</v>
      </c>
      <c r="I7" s="75">
        <f>'CUSPT AÑO 1 '!H54+'CUSPT AÑO 1 '!H57</f>
        <v>1016.4124199443013</v>
      </c>
      <c r="J7" s="75">
        <f>'CUSPT AÑO 1 '!I54+'CUSPT AÑO 1 '!I57</f>
        <v>2337.9240970783908</v>
      </c>
      <c r="K7" s="75">
        <f>'CUSPT AÑO 1 '!J54+'CUSPT AÑO 1 '!J57</f>
        <v>10931.887431911113</v>
      </c>
      <c r="L7" s="75">
        <f>'CUSPT AÑO 1 '!K54+'CUSPT AÑO 1 '!K57</f>
        <v>7877.5658495786711</v>
      </c>
      <c r="M7" s="75">
        <f>SUM(C7:L7)</f>
        <v>63984.435555531563</v>
      </c>
      <c r="N7" s="72"/>
    </row>
    <row r="8" spans="1:32" ht="18.75" customHeight="1" thickTop="1" thickBot="1">
      <c r="A8" s="73" t="s">
        <v>58</v>
      </c>
      <c r="B8" s="74" t="s">
        <v>64</v>
      </c>
      <c r="C8" s="75">
        <f>'CUSPT AÑO 2'!B54+'CUSPT AÑO 2'!B57</f>
        <v>6605.9376829469502</v>
      </c>
      <c r="D8" s="75">
        <f>'CUSPT AÑO 2'!C54+'CUSPT AÑO 2'!C57</f>
        <v>10023.702867401154</v>
      </c>
      <c r="E8" s="75">
        <f>'CUSPT AÑO 2'!D54+'CUSPT AÑO 2'!D57</f>
        <v>4587.2377576249301</v>
      </c>
      <c r="F8" s="75">
        <f>'CUSPT AÑO 2'!E54+'CUSPT AÑO 2'!E57</f>
        <v>11949.141479715363</v>
      </c>
      <c r="G8" s="75">
        <f>'CUSPT AÑO 2'!F54+'CUSPT AÑO 2'!F57</f>
        <v>6280.5732599495268</v>
      </c>
      <c r="H8" s="75">
        <f>'CUSPT AÑO 2'!G54+'CUSPT AÑO 2'!G57</f>
        <v>2205.3149162877353</v>
      </c>
      <c r="I8" s="75">
        <f>'CUSPT AÑO 2'!H54+'CUSPT AÑO 2'!H57</f>
        <v>1089.8624202559947</v>
      </c>
      <c r="J8" s="75">
        <f>'CUSPT AÑO 2'!I54+'CUSPT AÑO 2'!I57</f>
        <v>2349.7222966294235</v>
      </c>
      <c r="K8" s="75">
        <f>'CUSPT AÑO 2'!J54+'CUSPT AÑO 2'!J57</f>
        <v>10013.877969289259</v>
      </c>
      <c r="L8" s="75">
        <f>'CUSPT AÑO 2'!K54+'CUSPT AÑO 2'!K57</f>
        <v>7326.6278174665777</v>
      </c>
      <c r="M8" s="75">
        <f>SUM(C8:L8)</f>
        <v>62431.998467566911</v>
      </c>
      <c r="N8" s="72"/>
    </row>
    <row r="9" spans="1:32" ht="18.75" customHeight="1" thickTop="1" thickBot="1">
      <c r="A9" s="73" t="s">
        <v>59</v>
      </c>
      <c r="B9" s="74" t="s">
        <v>64</v>
      </c>
      <c r="C9" s="75">
        <f>'CUSPT AÑO 3'!B54+'CUSPT AÑO 3'!B57</f>
        <v>5422.2900694982509</v>
      </c>
      <c r="D9" s="75">
        <f>'CUSPT AÑO 3'!C54+'CUSPT AÑO 3'!C57</f>
        <v>7705.0364707877252</v>
      </c>
      <c r="E9" s="75">
        <f>'CUSPT AÑO 3'!D54+'CUSPT AÑO 3'!D57</f>
        <v>3621.8856472683437</v>
      </c>
      <c r="F9" s="75">
        <f>'CUSPT AÑO 3'!E54+'CUSPT AÑO 3'!E57</f>
        <v>12189.042262810459</v>
      </c>
      <c r="G9" s="75">
        <f>'CUSPT AÑO 3'!F54+'CUSPT AÑO 3'!F57</f>
        <v>8061.5699732489429</v>
      </c>
      <c r="H9" s="75">
        <f>'CUSPT AÑO 3'!G54+'CUSPT AÑO 3'!G57</f>
        <v>3633.6332244815858</v>
      </c>
      <c r="I9" s="75">
        <f>'CUSPT AÑO 3'!H54+'CUSPT AÑO 3'!H57</f>
        <v>1114.2551862724092</v>
      </c>
      <c r="J9" s="75">
        <f>'CUSPT AÑO 3'!I54+'CUSPT AÑO 3'!I57</f>
        <v>2030.6861828391463</v>
      </c>
      <c r="K9" s="75">
        <f>'CUSPT AÑO 3'!J54+'CUSPT AÑO 3'!J57</f>
        <v>10599.141960075582</v>
      </c>
      <c r="L9" s="75">
        <f>'CUSPT AÑO 3'!K54+'CUSPT AÑO 3'!K57</f>
        <v>5764.047007946011</v>
      </c>
      <c r="M9" s="75">
        <f>SUM(C9:L9)</f>
        <v>60141.587985228463</v>
      </c>
      <c r="N9" s="72"/>
    </row>
    <row r="10" spans="1:32" s="70" customFormat="1" ht="17.25" thickTop="1" thickBot="1">
      <c r="A10" s="73" t="s">
        <v>60</v>
      </c>
      <c r="B10" s="74" t="s">
        <v>64</v>
      </c>
      <c r="C10" s="75">
        <f>'CUSPT AÑO 4  '!B54+'CUSPT AÑO 4  '!B57</f>
        <v>5538.44944691415</v>
      </c>
      <c r="D10" s="75">
        <f>'CUSPT AÑO 4  '!C54+'CUSPT AÑO 4  '!C57</f>
        <v>7101.5608246574411</v>
      </c>
      <c r="E10" s="75">
        <f>'CUSPT AÑO 4  '!D54+'CUSPT AÑO 4  '!D57</f>
        <v>2899.5889355932568</v>
      </c>
      <c r="F10" s="75">
        <f>'CUSPT AÑO 4  '!E54+'CUSPT AÑO 4  '!E57</f>
        <v>11959.190249653599</v>
      </c>
      <c r="G10" s="75">
        <f>'CUSPT AÑO 4  '!F54+'CUSPT AÑO 4  '!F57</f>
        <v>7813.7308404211963</v>
      </c>
      <c r="H10" s="75">
        <f>'CUSPT AÑO 4  '!G54+'CUSPT AÑO 4  '!G57</f>
        <v>4376.5485454528571</v>
      </c>
      <c r="I10" s="75">
        <f>'CUSPT AÑO 4  '!H54+'CUSPT AÑO 4  '!H57</f>
        <v>970.73940236025862</v>
      </c>
      <c r="J10" s="75">
        <f>'CUSPT AÑO 4  '!I54+'CUSPT AÑO 4  '!I57</f>
        <v>1810.1626871404064</v>
      </c>
      <c r="K10" s="75">
        <f>'CUSPT AÑO 4  '!J54+'CUSPT AÑO 4  '!J57</f>
        <v>9408.3353025979959</v>
      </c>
      <c r="L10" s="75">
        <f>'CUSPT AÑO 4  '!K54+'CUSPT AÑO 4  '!K57</f>
        <v>5968.269230792027</v>
      </c>
      <c r="M10" s="75">
        <f>SUM(C10:L10)</f>
        <v>57846.575465583199</v>
      </c>
      <c r="N10" s="69"/>
      <c r="O10" s="68"/>
      <c r="P10" s="68"/>
      <c r="Q10" s="68"/>
      <c r="R10" s="68"/>
    </row>
    <row r="11" spans="1:32" s="70" customFormat="1" ht="16.5" thickTop="1">
      <c r="A11" s="76"/>
      <c r="B11" s="77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9"/>
      <c r="N11" s="69"/>
      <c r="O11" s="68"/>
      <c r="P11" s="68"/>
      <c r="Q11" s="68"/>
      <c r="R11" s="68"/>
    </row>
    <row r="12" spans="1:32">
      <c r="A12" s="538" t="s">
        <v>65</v>
      </c>
      <c r="B12" s="538"/>
      <c r="C12" s="538"/>
      <c r="D12" s="538"/>
      <c r="E12" s="538"/>
      <c r="F12" s="538"/>
      <c r="G12" s="538"/>
      <c r="H12" s="538"/>
      <c r="I12" s="538"/>
      <c r="J12" s="538"/>
      <c r="K12" s="538"/>
      <c r="L12" s="538"/>
      <c r="M12" s="538"/>
      <c r="N12" s="67"/>
    </row>
    <row r="13" spans="1:32" ht="16.5" thickBot="1">
      <c r="A13" s="71" t="s">
        <v>62</v>
      </c>
      <c r="B13" s="71"/>
      <c r="C13" s="71">
        <v>1</v>
      </c>
      <c r="D13" s="71">
        <v>2</v>
      </c>
      <c r="E13" s="71">
        <v>3</v>
      </c>
      <c r="F13" s="71">
        <v>4</v>
      </c>
      <c r="G13" s="71">
        <v>5</v>
      </c>
      <c r="H13" s="71">
        <v>6</v>
      </c>
      <c r="I13" s="71">
        <v>7</v>
      </c>
      <c r="J13" s="71">
        <v>8</v>
      </c>
      <c r="K13" s="71">
        <v>9</v>
      </c>
      <c r="L13" s="71">
        <v>10</v>
      </c>
      <c r="M13" s="71" t="s">
        <v>20</v>
      </c>
      <c r="N13" s="72"/>
    </row>
    <row r="14" spans="1:32" ht="17.25" thickTop="1" thickBot="1">
      <c r="A14" s="73" t="s">
        <v>63</v>
      </c>
      <c r="B14" s="74" t="s">
        <v>66</v>
      </c>
      <c r="C14" s="75">
        <f>'Datos fijos AÑO 1'!D17</f>
        <v>381.78000000000003</v>
      </c>
      <c r="D14" s="75">
        <f>'Datos fijos AÑO 1'!D37</f>
        <v>548.68000000000006</v>
      </c>
      <c r="E14" s="75">
        <f>'Datos fijos AÑO 1'!D45</f>
        <v>194.10000000000005</v>
      </c>
      <c r="F14" s="75">
        <f>'Datos fijos AÑO 1'!D58</f>
        <v>600.05477999999994</v>
      </c>
      <c r="G14" s="75">
        <f>'Datos fijos AÑO 1'!D117</f>
        <v>759.03666989999988</v>
      </c>
      <c r="H14" s="75">
        <f>'Datos fijos AÑO 1'!D166</f>
        <v>281.45999999999998</v>
      </c>
      <c r="I14" s="75">
        <f>'Datos fijos AÑO 1'!D188</f>
        <v>153.142</v>
      </c>
      <c r="J14" s="75">
        <f>'Datos fijos AÑO 1'!D193</f>
        <v>260</v>
      </c>
      <c r="K14" s="75">
        <f>'Datos fijos AÑO 1'!D196</f>
        <v>1376.25</v>
      </c>
      <c r="L14" s="75">
        <f>'Datos fijos AÑO 1'!D204</f>
        <v>254.8</v>
      </c>
      <c r="M14" s="75">
        <f>SUM(C14:L14)</f>
        <v>4809.3034498999996</v>
      </c>
      <c r="N14" s="72"/>
    </row>
    <row r="15" spans="1:32" ht="17.25" thickTop="1" thickBot="1">
      <c r="A15" s="73" t="s">
        <v>58</v>
      </c>
      <c r="B15" s="74" t="s">
        <v>66</v>
      </c>
      <c r="C15" s="75">
        <f>'Datos fijos AÑO 2 '!D17</f>
        <v>381.78000000000003</v>
      </c>
      <c r="D15" s="75">
        <f>'Datos fijos AÑO 2 '!D37</f>
        <v>548.68000000000006</v>
      </c>
      <c r="E15" s="75">
        <f>'Datos fijos AÑO 2 '!D45</f>
        <v>194.10000000000005</v>
      </c>
      <c r="F15" s="75">
        <f>'Datos fijos AÑO 2 '!D58</f>
        <v>764.84999999999968</v>
      </c>
      <c r="G15" s="75">
        <f>'Datos fijos AÑO 2 '!D117</f>
        <v>806.46999999999991</v>
      </c>
      <c r="H15" s="75">
        <f>'Datos fijos AÑO 2 '!D166</f>
        <v>281.45999999999998</v>
      </c>
      <c r="I15" s="75">
        <f>'Datos fijos AÑO 2 '!D188</f>
        <v>153.13999999999999</v>
      </c>
      <c r="J15" s="75">
        <f>'Datos fijos AÑO 2 '!D193</f>
        <v>260</v>
      </c>
      <c r="K15" s="75">
        <f>'Datos fijos AÑO 2 '!D196</f>
        <v>1376.25</v>
      </c>
      <c r="L15" s="75">
        <f>'Datos fijos AÑO 2 '!D204</f>
        <v>254.8</v>
      </c>
      <c r="M15" s="75">
        <f>SUM(C15:L15)</f>
        <v>5021.53</v>
      </c>
      <c r="N15" s="72"/>
      <c r="AF15" s="80"/>
    </row>
    <row r="16" spans="1:32" ht="18.75" customHeight="1" thickTop="1" thickBot="1">
      <c r="A16" s="73" t="s">
        <v>59</v>
      </c>
      <c r="B16" s="74" t="s">
        <v>66</v>
      </c>
      <c r="C16" s="75">
        <f>'Datos fijos AÑO 3'!D17</f>
        <v>381.78000000000003</v>
      </c>
      <c r="D16" s="75">
        <f>'Datos fijos AÑO 3'!D37</f>
        <v>548.68000000000006</v>
      </c>
      <c r="E16" s="75">
        <f>'Datos fijos AÑO 3'!D45</f>
        <v>194.10000000000005</v>
      </c>
      <c r="F16" s="75">
        <f>'Datos fijos AÑO 3'!D58</f>
        <v>794.84999999999968</v>
      </c>
      <c r="G16" s="75">
        <f>'Datos fijos AÑO 3'!D117</f>
        <v>806.46999999999991</v>
      </c>
      <c r="H16" s="75">
        <f>'Datos fijos AÑO 3'!D166</f>
        <v>451.46</v>
      </c>
      <c r="I16" s="75">
        <f>'Datos fijos AÑO 3'!D188</f>
        <v>153.13999999999999</v>
      </c>
      <c r="J16" s="75">
        <f>'Datos fijos AÑO 3'!D193</f>
        <v>260</v>
      </c>
      <c r="K16" s="75">
        <f>'Datos fijos AÑO 3'!D196</f>
        <v>1376.25</v>
      </c>
      <c r="L16" s="75">
        <f>'Datos fijos AÑO 3'!D204</f>
        <v>254.8</v>
      </c>
      <c r="M16" s="75">
        <f>SUM(C16:L16)</f>
        <v>5221.53</v>
      </c>
      <c r="N16" s="72"/>
    </row>
    <row r="17" spans="1:22" ht="20.25" customHeight="1" thickTop="1" thickBot="1">
      <c r="A17" s="73" t="s">
        <v>60</v>
      </c>
      <c r="B17" s="74" t="s">
        <v>66</v>
      </c>
      <c r="C17" s="75">
        <f>'Datos fijos AÑO 4'!D17</f>
        <v>381.78000000000003</v>
      </c>
      <c r="D17" s="75">
        <f>'Datos fijos AÑO 4'!D37</f>
        <v>548.68000000000006</v>
      </c>
      <c r="E17" s="75">
        <f>'Datos fijos AÑO 4'!D45</f>
        <v>194.10000000000005</v>
      </c>
      <c r="F17" s="75">
        <f>'Datos fijos AÑO 4'!D58</f>
        <v>857.84999999999968</v>
      </c>
      <c r="G17" s="75">
        <f>'Datos fijos AÑO 4'!D117</f>
        <v>806.46999999999991</v>
      </c>
      <c r="H17" s="75">
        <f>'Datos fijos AÑO 4'!D166</f>
        <v>451.46</v>
      </c>
      <c r="I17" s="75">
        <f>'Datos fijos AÑO 4'!D188</f>
        <v>153.13999999999999</v>
      </c>
      <c r="J17" s="75">
        <f>'Datos fijos AÑO 4'!D193</f>
        <v>260</v>
      </c>
      <c r="K17" s="75">
        <f>'Datos fijos AÑO 4'!D196</f>
        <v>1376.25</v>
      </c>
      <c r="L17" s="75">
        <f>'Datos fijos AÑO 4'!D204</f>
        <v>254.8</v>
      </c>
      <c r="M17" s="75">
        <f>SUM(C17:L17)</f>
        <v>5284.53</v>
      </c>
    </row>
    <row r="18" spans="1:22" s="70" customFormat="1" ht="16.5" thickTop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81"/>
      <c r="N18" s="69"/>
    </row>
    <row r="19" spans="1:22" s="70" customFormat="1" ht="17.25" customHeight="1">
      <c r="A19" s="538" t="s">
        <v>67</v>
      </c>
      <c r="B19" s="538"/>
      <c r="C19" s="538"/>
      <c r="D19" s="538"/>
      <c r="E19" s="538"/>
      <c r="F19" s="538"/>
      <c r="G19" s="538"/>
      <c r="H19" s="538"/>
      <c r="I19" s="538"/>
      <c r="J19" s="538"/>
      <c r="K19" s="538"/>
      <c r="L19" s="538"/>
      <c r="M19" s="82"/>
      <c r="N19" s="69"/>
    </row>
    <row r="20" spans="1:22">
      <c r="A20" s="538" t="s">
        <v>68</v>
      </c>
      <c r="B20" s="538"/>
      <c r="C20" s="538"/>
      <c r="D20" s="538"/>
      <c r="E20" s="538"/>
      <c r="F20" s="538"/>
      <c r="G20" s="538"/>
      <c r="H20" s="538"/>
      <c r="I20" s="538"/>
      <c r="J20" s="538"/>
      <c r="K20" s="538"/>
      <c r="L20" s="538"/>
      <c r="M20" s="83"/>
      <c r="N20" s="67"/>
    </row>
    <row r="21" spans="1:22" ht="22.9" customHeight="1" thickBot="1">
      <c r="A21" s="84" t="s">
        <v>62</v>
      </c>
      <c r="B21" s="337"/>
      <c r="C21" s="337">
        <v>1</v>
      </c>
      <c r="D21" s="337">
        <v>2</v>
      </c>
      <c r="E21" s="337">
        <v>3</v>
      </c>
      <c r="F21" s="337">
        <v>4</v>
      </c>
      <c r="G21" s="337">
        <v>5</v>
      </c>
      <c r="H21" s="337">
        <v>6</v>
      </c>
      <c r="I21" s="337">
        <v>7</v>
      </c>
      <c r="J21" s="337">
        <v>8</v>
      </c>
      <c r="K21" s="337">
        <v>9</v>
      </c>
      <c r="L21" s="338">
        <v>10</v>
      </c>
      <c r="M21" s="83"/>
      <c r="N21" s="85"/>
      <c r="O21" s="83"/>
      <c r="P21" s="83"/>
      <c r="Q21" s="83"/>
      <c r="R21" s="83"/>
      <c r="S21" s="83"/>
      <c r="T21" s="83"/>
      <c r="U21" s="83"/>
      <c r="V21" s="83"/>
    </row>
    <row r="22" spans="1:22" ht="21" thickTop="1" thickBot="1">
      <c r="A22" s="339" t="s">
        <v>63</v>
      </c>
      <c r="B22" s="340" t="s">
        <v>64</v>
      </c>
      <c r="C22" s="86">
        <f>IF(C14&gt;0,C7/(C14*12),0)</f>
        <v>1.1508999352052676</v>
      </c>
      <c r="D22" s="86">
        <f t="shared" ref="D22:L22" si="0">IF(D14&gt;0,D7/(D14*12),0)</f>
        <v>1.7033840954293344</v>
      </c>
      <c r="E22" s="86">
        <f t="shared" si="0"/>
        <v>1.8475953278034221</v>
      </c>
      <c r="F22" s="86">
        <f t="shared" si="0"/>
        <v>1.6408760197631509</v>
      </c>
      <c r="G22" s="86">
        <f t="shared" si="0"/>
        <v>0.76297247345441421</v>
      </c>
      <c r="H22" s="86">
        <f t="shared" si="0"/>
        <v>0.67040649716829004</v>
      </c>
      <c r="I22" s="86">
        <f t="shared" si="0"/>
        <v>0.55308821221714777</v>
      </c>
      <c r="J22" s="86">
        <f t="shared" si="0"/>
        <v>0.74933464649948422</v>
      </c>
      <c r="K22" s="86">
        <f t="shared" si="0"/>
        <v>0.66193687144481461</v>
      </c>
      <c r="L22" s="86">
        <f t="shared" si="0"/>
        <v>2.5763886216570744</v>
      </c>
      <c r="M22" s="83"/>
      <c r="N22" s="85"/>
      <c r="O22" s="83"/>
      <c r="P22" s="83"/>
      <c r="Q22" s="83"/>
      <c r="R22" s="83"/>
      <c r="S22" s="83"/>
      <c r="T22" s="83"/>
      <c r="U22" s="83"/>
      <c r="V22" s="83"/>
    </row>
    <row r="23" spans="1:22" ht="21" thickTop="1" thickBot="1">
      <c r="A23" s="339" t="s">
        <v>58</v>
      </c>
      <c r="B23" s="340" t="s">
        <v>64</v>
      </c>
      <c r="C23" s="86">
        <f t="shared" ref="C23:L25" si="1">IF(C15&gt;0,C8/(C15*12),0)</f>
        <v>1.4419163049720933</v>
      </c>
      <c r="D23" s="86">
        <f t="shared" si="1"/>
        <v>1.5223966105624944</v>
      </c>
      <c r="E23" s="86">
        <f t="shared" si="1"/>
        <v>1.969447775040756</v>
      </c>
      <c r="F23" s="86">
        <f t="shared" si="1"/>
        <v>1.3019046740880964</v>
      </c>
      <c r="G23" s="86">
        <f t="shared" si="1"/>
        <v>0.64897777350154862</v>
      </c>
      <c r="H23" s="86">
        <f t="shared" si="1"/>
        <v>0.6529391139912526</v>
      </c>
      <c r="I23" s="86">
        <f t="shared" si="1"/>
        <v>0.59306430948587063</v>
      </c>
      <c r="J23" s="86">
        <f t="shared" si="1"/>
        <v>0.7531161207145588</v>
      </c>
      <c r="K23" s="86">
        <f t="shared" si="1"/>
        <v>0.60635046741079368</v>
      </c>
      <c r="L23" s="86">
        <f t="shared" si="1"/>
        <v>2.3962021904325539</v>
      </c>
      <c r="M23" s="87"/>
      <c r="N23" s="85"/>
      <c r="O23" s="83"/>
      <c r="P23" s="83"/>
      <c r="Q23" s="83"/>
      <c r="R23" s="83"/>
      <c r="S23" s="83"/>
      <c r="T23" s="83"/>
      <c r="U23" s="83"/>
      <c r="V23" s="83"/>
    </row>
    <row r="24" spans="1:22" ht="21" thickTop="1" thickBot="1">
      <c r="A24" s="339" t="s">
        <v>59</v>
      </c>
      <c r="B24" s="340" t="s">
        <v>64</v>
      </c>
      <c r="C24" s="86">
        <f t="shared" si="1"/>
        <v>1.1835546801600945</v>
      </c>
      <c r="D24" s="86">
        <f t="shared" si="1"/>
        <v>1.1702383403179333</v>
      </c>
      <c r="E24" s="86">
        <f t="shared" si="1"/>
        <v>1.5549912619218369</v>
      </c>
      <c r="F24" s="86">
        <f t="shared" si="1"/>
        <v>1.2779185027374622</v>
      </c>
      <c r="G24" s="86">
        <f t="shared" si="1"/>
        <v>0.8330099046098991</v>
      </c>
      <c r="H24" s="86">
        <f t="shared" si="1"/>
        <v>0.67071893126035276</v>
      </c>
      <c r="I24" s="86">
        <f t="shared" si="1"/>
        <v>0.6063379839103703</v>
      </c>
      <c r="J24" s="86">
        <f t="shared" si="1"/>
        <v>0.65086095603818794</v>
      </c>
      <c r="K24" s="86">
        <f t="shared" si="1"/>
        <v>0.64178879564490354</v>
      </c>
      <c r="L24" s="86">
        <f t="shared" si="1"/>
        <v>1.8851540449849589</v>
      </c>
      <c r="M24" s="88"/>
      <c r="N24" s="67"/>
    </row>
    <row r="25" spans="1:22" ht="21" thickTop="1" thickBot="1">
      <c r="A25" s="339" t="s">
        <v>60</v>
      </c>
      <c r="B25" s="340" t="s">
        <v>64</v>
      </c>
      <c r="C25" s="86">
        <f t="shared" si="1"/>
        <v>1.2089094607090798</v>
      </c>
      <c r="D25" s="86">
        <f t="shared" si="1"/>
        <v>1.0785826627325947</v>
      </c>
      <c r="E25" s="86">
        <f t="shared" si="1"/>
        <v>1.2448861993788665</v>
      </c>
      <c r="F25" s="86">
        <f t="shared" si="1"/>
        <v>1.1617406160414216</v>
      </c>
      <c r="G25" s="86">
        <f t="shared" si="1"/>
        <v>0.80740044478004935</v>
      </c>
      <c r="H25" s="86">
        <f t="shared" si="1"/>
        <v>0.80785092541473913</v>
      </c>
      <c r="I25" s="86">
        <f t="shared" si="1"/>
        <v>0.52824180616878824</v>
      </c>
      <c r="J25" s="86">
        <f t="shared" si="1"/>
        <v>0.58018034844243793</v>
      </c>
      <c r="K25" s="86">
        <f t="shared" si="1"/>
        <v>0.56968424478340873</v>
      </c>
      <c r="L25" s="86">
        <f>IF(L17&gt;0,L10/(L17*12),0)</f>
        <v>1.9519457191235041</v>
      </c>
      <c r="M25" s="89"/>
    </row>
    <row r="26" spans="1:22" ht="16.5" thickTop="1">
      <c r="A26" s="539"/>
      <c r="B26" s="539"/>
      <c r="C26" s="539"/>
      <c r="D26" s="539"/>
      <c r="E26" s="539"/>
      <c r="F26" s="539"/>
      <c r="G26" s="539"/>
      <c r="H26" s="539"/>
      <c r="I26" s="539"/>
      <c r="J26" s="539"/>
      <c r="K26" s="539"/>
      <c r="L26" s="539"/>
      <c r="M26" s="90"/>
    </row>
    <row r="31" spans="1:22">
      <c r="D31" s="341"/>
    </row>
    <row r="32" spans="1:22">
      <c r="D32" s="342"/>
    </row>
    <row r="33" spans="4:4">
      <c r="D33" s="342"/>
    </row>
    <row r="34" spans="4:4">
      <c r="D34" s="342"/>
    </row>
    <row r="35" spans="4:4">
      <c r="D35" s="342"/>
    </row>
    <row r="36" spans="4:4">
      <c r="D36" s="342"/>
    </row>
    <row r="37" spans="4:4">
      <c r="D37" s="342"/>
    </row>
  </sheetData>
  <mergeCells count="8">
    <mergeCell ref="A12:M12"/>
    <mergeCell ref="A19:L19"/>
    <mergeCell ref="A20:L20"/>
    <mergeCell ref="A26:L26"/>
    <mergeCell ref="A2:M2"/>
    <mergeCell ref="A3:M3"/>
    <mergeCell ref="A4:M4"/>
    <mergeCell ref="A5:M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A6E3A-299E-4AB5-9F2A-E82CE9CE1172}">
  <sheetPr>
    <pageSetUpPr fitToPage="1"/>
  </sheetPr>
  <dimension ref="A1:N72"/>
  <sheetViews>
    <sheetView topLeftCell="A21" zoomScale="85" zoomScaleNormal="85" workbookViewId="0">
      <selection activeCell="B29" sqref="B29"/>
    </sheetView>
  </sheetViews>
  <sheetFormatPr baseColWidth="10" defaultColWidth="10.7109375" defaultRowHeight="15" customHeight="1"/>
  <cols>
    <col min="1" max="1" width="12.7109375" style="94" customWidth="1"/>
    <col min="2" max="256" width="10.7109375" style="94"/>
    <col min="257" max="257" width="12.7109375" style="94" customWidth="1"/>
    <col min="258" max="512" width="10.7109375" style="94"/>
    <col min="513" max="513" width="12.7109375" style="94" customWidth="1"/>
    <col min="514" max="768" width="10.7109375" style="94"/>
    <col min="769" max="769" width="12.7109375" style="94" customWidth="1"/>
    <col min="770" max="1024" width="10.7109375" style="94"/>
    <col min="1025" max="1025" width="12.7109375" style="94" customWidth="1"/>
    <col min="1026" max="1280" width="10.7109375" style="94"/>
    <col min="1281" max="1281" width="12.7109375" style="94" customWidth="1"/>
    <col min="1282" max="1536" width="10.7109375" style="94"/>
    <col min="1537" max="1537" width="12.7109375" style="94" customWidth="1"/>
    <col min="1538" max="1792" width="10.7109375" style="94"/>
    <col min="1793" max="1793" width="12.7109375" style="94" customWidth="1"/>
    <col min="1794" max="2048" width="10.7109375" style="94"/>
    <col min="2049" max="2049" width="12.7109375" style="94" customWidth="1"/>
    <col min="2050" max="2304" width="10.7109375" style="94"/>
    <col min="2305" max="2305" width="12.7109375" style="94" customWidth="1"/>
    <col min="2306" max="2560" width="10.7109375" style="94"/>
    <col min="2561" max="2561" width="12.7109375" style="94" customWidth="1"/>
    <col min="2562" max="2816" width="10.7109375" style="94"/>
    <col min="2817" max="2817" width="12.7109375" style="94" customWidth="1"/>
    <col min="2818" max="3072" width="10.7109375" style="94"/>
    <col min="3073" max="3073" width="12.7109375" style="94" customWidth="1"/>
    <col min="3074" max="3328" width="10.7109375" style="94"/>
    <col min="3329" max="3329" width="12.7109375" style="94" customWidth="1"/>
    <col min="3330" max="3584" width="10.7109375" style="94"/>
    <col min="3585" max="3585" width="12.7109375" style="94" customWidth="1"/>
    <col min="3586" max="3840" width="10.7109375" style="94"/>
    <col min="3841" max="3841" width="12.7109375" style="94" customWidth="1"/>
    <col min="3842" max="4096" width="10.7109375" style="94"/>
    <col min="4097" max="4097" width="12.7109375" style="94" customWidth="1"/>
    <col min="4098" max="4352" width="10.7109375" style="94"/>
    <col min="4353" max="4353" width="12.7109375" style="94" customWidth="1"/>
    <col min="4354" max="4608" width="10.7109375" style="94"/>
    <col min="4609" max="4609" width="12.7109375" style="94" customWidth="1"/>
    <col min="4610" max="4864" width="10.7109375" style="94"/>
    <col min="4865" max="4865" width="12.7109375" style="94" customWidth="1"/>
    <col min="4866" max="5120" width="10.7109375" style="94"/>
    <col min="5121" max="5121" width="12.7109375" style="94" customWidth="1"/>
    <col min="5122" max="5376" width="10.7109375" style="94"/>
    <col min="5377" max="5377" width="12.7109375" style="94" customWidth="1"/>
    <col min="5378" max="5632" width="10.7109375" style="94"/>
    <col min="5633" max="5633" width="12.7109375" style="94" customWidth="1"/>
    <col min="5634" max="5888" width="10.7109375" style="94"/>
    <col min="5889" max="5889" width="12.7109375" style="94" customWidth="1"/>
    <col min="5890" max="6144" width="10.7109375" style="94"/>
    <col min="6145" max="6145" width="12.7109375" style="94" customWidth="1"/>
    <col min="6146" max="6400" width="10.7109375" style="94"/>
    <col min="6401" max="6401" width="12.7109375" style="94" customWidth="1"/>
    <col min="6402" max="6656" width="10.7109375" style="94"/>
    <col min="6657" max="6657" width="12.7109375" style="94" customWidth="1"/>
    <col min="6658" max="6912" width="10.7109375" style="94"/>
    <col min="6913" max="6913" width="12.7109375" style="94" customWidth="1"/>
    <col min="6914" max="7168" width="10.7109375" style="94"/>
    <col min="7169" max="7169" width="12.7109375" style="94" customWidth="1"/>
    <col min="7170" max="7424" width="10.7109375" style="94"/>
    <col min="7425" max="7425" width="12.7109375" style="94" customWidth="1"/>
    <col min="7426" max="7680" width="10.7109375" style="94"/>
    <col min="7681" max="7681" width="12.7109375" style="94" customWidth="1"/>
    <col min="7682" max="7936" width="10.7109375" style="94"/>
    <col min="7937" max="7937" width="12.7109375" style="94" customWidth="1"/>
    <col min="7938" max="8192" width="10.7109375" style="94"/>
    <col min="8193" max="8193" width="12.7109375" style="94" customWidth="1"/>
    <col min="8194" max="8448" width="10.7109375" style="94"/>
    <col min="8449" max="8449" width="12.7109375" style="94" customWidth="1"/>
    <col min="8450" max="8704" width="10.7109375" style="94"/>
    <col min="8705" max="8705" width="12.7109375" style="94" customWidth="1"/>
    <col min="8706" max="8960" width="10.7109375" style="94"/>
    <col min="8961" max="8961" width="12.7109375" style="94" customWidth="1"/>
    <col min="8962" max="9216" width="10.7109375" style="94"/>
    <col min="9217" max="9217" width="12.7109375" style="94" customWidth="1"/>
    <col min="9218" max="9472" width="10.7109375" style="94"/>
    <col min="9473" max="9473" width="12.7109375" style="94" customWidth="1"/>
    <col min="9474" max="9728" width="10.7109375" style="94"/>
    <col min="9729" max="9729" width="12.7109375" style="94" customWidth="1"/>
    <col min="9730" max="9984" width="10.7109375" style="94"/>
    <col min="9985" max="9985" width="12.7109375" style="94" customWidth="1"/>
    <col min="9986" max="10240" width="10.7109375" style="94"/>
    <col min="10241" max="10241" width="12.7109375" style="94" customWidth="1"/>
    <col min="10242" max="10496" width="10.7109375" style="94"/>
    <col min="10497" max="10497" width="12.7109375" style="94" customWidth="1"/>
    <col min="10498" max="10752" width="10.7109375" style="94"/>
    <col min="10753" max="10753" width="12.7109375" style="94" customWidth="1"/>
    <col min="10754" max="11008" width="10.7109375" style="94"/>
    <col min="11009" max="11009" width="12.7109375" style="94" customWidth="1"/>
    <col min="11010" max="11264" width="10.7109375" style="94"/>
    <col min="11265" max="11265" width="12.7109375" style="94" customWidth="1"/>
    <col min="11266" max="11520" width="10.7109375" style="94"/>
    <col min="11521" max="11521" width="12.7109375" style="94" customWidth="1"/>
    <col min="11522" max="11776" width="10.7109375" style="94"/>
    <col min="11777" max="11777" width="12.7109375" style="94" customWidth="1"/>
    <col min="11778" max="12032" width="10.7109375" style="94"/>
    <col min="12033" max="12033" width="12.7109375" style="94" customWidth="1"/>
    <col min="12034" max="12288" width="10.7109375" style="94"/>
    <col min="12289" max="12289" width="12.7109375" style="94" customWidth="1"/>
    <col min="12290" max="12544" width="10.7109375" style="94"/>
    <col min="12545" max="12545" width="12.7109375" style="94" customWidth="1"/>
    <col min="12546" max="12800" width="10.7109375" style="94"/>
    <col min="12801" max="12801" width="12.7109375" style="94" customWidth="1"/>
    <col min="12802" max="13056" width="10.7109375" style="94"/>
    <col min="13057" max="13057" width="12.7109375" style="94" customWidth="1"/>
    <col min="13058" max="13312" width="10.7109375" style="94"/>
    <col min="13313" max="13313" width="12.7109375" style="94" customWidth="1"/>
    <col min="13314" max="13568" width="10.7109375" style="94"/>
    <col min="13569" max="13569" width="12.7109375" style="94" customWidth="1"/>
    <col min="13570" max="13824" width="10.7109375" style="94"/>
    <col min="13825" max="13825" width="12.7109375" style="94" customWidth="1"/>
    <col min="13826" max="14080" width="10.7109375" style="94"/>
    <col min="14081" max="14081" width="12.7109375" style="94" customWidth="1"/>
    <col min="14082" max="14336" width="10.7109375" style="94"/>
    <col min="14337" max="14337" width="12.7109375" style="94" customWidth="1"/>
    <col min="14338" max="14592" width="10.7109375" style="94"/>
    <col min="14593" max="14593" width="12.7109375" style="94" customWidth="1"/>
    <col min="14594" max="14848" width="10.7109375" style="94"/>
    <col min="14849" max="14849" width="12.7109375" style="94" customWidth="1"/>
    <col min="14850" max="15104" width="10.7109375" style="94"/>
    <col min="15105" max="15105" width="12.7109375" style="94" customWidth="1"/>
    <col min="15106" max="15360" width="10.7109375" style="94"/>
    <col min="15361" max="15361" width="12.7109375" style="94" customWidth="1"/>
    <col min="15362" max="15616" width="10.7109375" style="94"/>
    <col min="15617" max="15617" width="12.7109375" style="94" customWidth="1"/>
    <col min="15618" max="15872" width="10.7109375" style="94"/>
    <col min="15873" max="15873" width="12.7109375" style="94" customWidth="1"/>
    <col min="15874" max="16128" width="10.7109375" style="94"/>
    <col min="16129" max="16129" width="12.7109375" style="94" customWidth="1"/>
    <col min="16130" max="16384" width="10.7109375" style="94"/>
  </cols>
  <sheetData>
    <row r="1" spans="1:14" ht="22.15" customHeight="1">
      <c r="A1" s="92" t="s">
        <v>0</v>
      </c>
      <c r="B1" s="93">
        <f>[14]Input!B1</f>
        <v>1</v>
      </c>
      <c r="C1" s="93" t="str">
        <f>[14]Input!C1</f>
        <v>2025-2026</v>
      </c>
    </row>
    <row r="2" spans="1:14" ht="15" customHeight="1">
      <c r="A2" s="95"/>
      <c r="B2" s="96" t="s">
        <v>2</v>
      </c>
      <c r="C2" s="97"/>
      <c r="D2" s="96" t="s">
        <v>3</v>
      </c>
      <c r="E2" s="98"/>
      <c r="F2" s="99" t="s">
        <v>69</v>
      </c>
    </row>
    <row r="3" spans="1:14" ht="15" customHeight="1">
      <c r="A3" s="100" t="s">
        <v>5</v>
      </c>
      <c r="B3" s="101">
        <f>[14]Input!B3</f>
        <v>135998.45646718511</v>
      </c>
      <c r="C3" s="102">
        <f>C4+C5</f>
        <v>1</v>
      </c>
      <c r="D3" s="103">
        <f>[14]Input!D3</f>
        <v>3218.7200000000007</v>
      </c>
      <c r="E3" s="102">
        <f>E4+E5</f>
        <v>0.99999999999999989</v>
      </c>
      <c r="F3" s="104" t="s">
        <v>6</v>
      </c>
      <c r="H3" s="105" t="s">
        <v>9</v>
      </c>
      <c r="I3" s="106"/>
      <c r="J3" s="107"/>
      <c r="K3" s="108" t="s">
        <v>8</v>
      </c>
      <c r="L3" s="109">
        <f>L54+L57</f>
        <v>63984.435555531556</v>
      </c>
      <c r="M3" s="110">
        <f>L3/(L4+L3)</f>
        <v>0.47047913055520801</v>
      </c>
    </row>
    <row r="4" spans="1:14" ht="15" customHeight="1">
      <c r="A4" s="111" t="s">
        <v>10</v>
      </c>
      <c r="B4" s="112">
        <f>[14]Input!B4</f>
        <v>116312.67903253184</v>
      </c>
      <c r="C4" s="113">
        <f>B4/B3</f>
        <v>0.85524999366883825</v>
      </c>
      <c r="D4" s="114">
        <f>[14]Input!D4</f>
        <v>2943.9600000000005</v>
      </c>
      <c r="E4" s="113">
        <f>D4/D3</f>
        <v>0.91463687428543017</v>
      </c>
      <c r="F4" s="115">
        <f>[14]Input!F4</f>
        <v>39.50891962952344</v>
      </c>
      <c r="H4" s="105" t="s">
        <v>11</v>
      </c>
      <c r="I4" s="106"/>
      <c r="J4" s="107"/>
      <c r="K4" s="108" t="s">
        <v>8</v>
      </c>
      <c r="L4" s="109">
        <f>L55+L58</f>
        <v>72014.020911653541</v>
      </c>
      <c r="M4" s="110">
        <f>L4/(L3+L4)</f>
        <v>0.52952086944479193</v>
      </c>
    </row>
    <row r="5" spans="1:14" ht="15" customHeight="1">
      <c r="A5" s="116" t="s">
        <v>12</v>
      </c>
      <c r="B5" s="117">
        <f>[14]Input!B5</f>
        <v>19685.777434653271</v>
      </c>
      <c r="C5" s="118">
        <f>B5/B3</f>
        <v>0.14475000633116175</v>
      </c>
      <c r="D5" s="119">
        <f>[14]Input!D5</f>
        <v>274.76000000000005</v>
      </c>
      <c r="E5" s="118">
        <f>D5/D3</f>
        <v>8.5363125714569763E-2</v>
      </c>
      <c r="F5" s="120">
        <f>[14]Input!F5</f>
        <v>71.647173659387349</v>
      </c>
    </row>
    <row r="6" spans="1:14" ht="15" customHeight="1">
      <c r="B6" s="121"/>
    </row>
    <row r="7" spans="1:14" ht="15" customHeight="1">
      <c r="A7" s="92" t="s">
        <v>70</v>
      </c>
      <c r="B7" s="101">
        <f>[14]Input!B7</f>
        <v>0</v>
      </c>
      <c r="C7" s="102">
        <f>[14]Input!C7</f>
        <v>1</v>
      </c>
      <c r="D7" s="103">
        <f>[14]Input!D7</f>
        <v>0</v>
      </c>
      <c r="E7" s="102">
        <f>[14]Input!E7</f>
        <v>1</v>
      </c>
      <c r="F7" s="122">
        <f>[14]Input!F7</f>
        <v>0</v>
      </c>
      <c r="G7" s="94" t="str">
        <f>[14]Input!G7</f>
        <v>(230 kV)</v>
      </c>
    </row>
    <row r="9" spans="1:14" ht="15" customHeight="1">
      <c r="A9" s="123" t="s">
        <v>71</v>
      </c>
      <c r="B9" s="124" t="s">
        <v>72</v>
      </c>
      <c r="C9" s="125" t="s">
        <v>73</v>
      </c>
      <c r="D9" s="125" t="s">
        <v>74</v>
      </c>
      <c r="E9" s="125" t="s">
        <v>75</v>
      </c>
      <c r="F9" s="125" t="s">
        <v>76</v>
      </c>
      <c r="G9" s="125" t="s">
        <v>77</v>
      </c>
      <c r="H9" s="126" t="s">
        <v>78</v>
      </c>
      <c r="I9" s="126" t="s">
        <v>79</v>
      </c>
      <c r="J9" s="126" t="s">
        <v>80</v>
      </c>
      <c r="K9" s="126" t="s">
        <v>81</v>
      </c>
      <c r="L9" s="126" t="s">
        <v>82</v>
      </c>
      <c r="M9" s="127" t="s">
        <v>83</v>
      </c>
    </row>
    <row r="10" spans="1:14" ht="15" customHeight="1">
      <c r="A10" s="128"/>
      <c r="B10" s="129" t="s">
        <v>84</v>
      </c>
      <c r="C10" s="130" t="s">
        <v>85</v>
      </c>
      <c r="D10" s="130" t="s">
        <v>86</v>
      </c>
      <c r="E10" s="130" t="s">
        <v>87</v>
      </c>
      <c r="F10" s="130" t="s">
        <v>88</v>
      </c>
      <c r="G10" s="130" t="s">
        <v>89</v>
      </c>
      <c r="H10" s="130" t="s">
        <v>90</v>
      </c>
      <c r="I10" s="130" t="s">
        <v>91</v>
      </c>
      <c r="J10" s="130" t="s">
        <v>92</v>
      </c>
      <c r="K10" s="130" t="s">
        <v>93</v>
      </c>
      <c r="L10" s="130" t="s">
        <v>94</v>
      </c>
      <c r="M10" s="131" t="s">
        <v>95</v>
      </c>
    </row>
    <row r="11" spans="1:14" ht="15" customHeight="1">
      <c r="A11" s="123" t="s">
        <v>96</v>
      </c>
      <c r="B11" s="124" t="s">
        <v>97</v>
      </c>
      <c r="C11" s="125" t="s">
        <v>97</v>
      </c>
      <c r="D11" s="125" t="s">
        <v>97</v>
      </c>
      <c r="E11" s="125" t="s">
        <v>97</v>
      </c>
      <c r="F11" s="125" t="s">
        <v>97</v>
      </c>
      <c r="G11" s="125" t="s">
        <v>97</v>
      </c>
      <c r="H11" s="126" t="s">
        <v>98</v>
      </c>
      <c r="I11" s="126" t="s">
        <v>98</v>
      </c>
      <c r="J11" s="126" t="s">
        <v>98</v>
      </c>
      <c r="K11" s="126" t="s">
        <v>98</v>
      </c>
      <c r="L11" s="126" t="s">
        <v>98</v>
      </c>
      <c r="M11" s="127" t="s">
        <v>97</v>
      </c>
    </row>
    <row r="12" spans="1:14" ht="15" customHeight="1">
      <c r="A12" s="132">
        <f>SUM(B12:M12)</f>
        <v>8760</v>
      </c>
      <c r="B12" s="133">
        <f>24*31</f>
        <v>744</v>
      </c>
      <c r="C12" s="134">
        <f>24*31</f>
        <v>744</v>
      </c>
      <c r="D12" s="134">
        <f>24*30</f>
        <v>720</v>
      </c>
      <c r="E12" s="134">
        <f>24*31</f>
        <v>744</v>
      </c>
      <c r="F12" s="134">
        <f>24*30</f>
        <v>720</v>
      </c>
      <c r="G12" s="134">
        <f>24*31</f>
        <v>744</v>
      </c>
      <c r="H12" s="134">
        <f>24*31</f>
        <v>744</v>
      </c>
      <c r="I12" s="134">
        <f>24*28</f>
        <v>672</v>
      </c>
      <c r="J12" s="134">
        <f>24*31</f>
        <v>744</v>
      </c>
      <c r="K12" s="134">
        <f>24*30</f>
        <v>720</v>
      </c>
      <c r="L12" s="134">
        <f>24*31</f>
        <v>744</v>
      </c>
      <c r="M12" s="135">
        <f>24*30</f>
        <v>720</v>
      </c>
      <c r="N12" s="136">
        <f>SUM(B12:M12)</f>
        <v>8760</v>
      </c>
    </row>
    <row r="13" spans="1:14" ht="15" customHeight="1">
      <c r="A13" s="137" t="s">
        <v>99</v>
      </c>
      <c r="B13" s="111">
        <f>[21]M01!$H$13</f>
        <v>744</v>
      </c>
      <c r="C13" s="94">
        <f>[21]M02!$H$13</f>
        <v>744</v>
      </c>
      <c r="D13" s="94">
        <f>[21]M03!$H$13</f>
        <v>720</v>
      </c>
      <c r="E13" s="94">
        <f>[21]M04!$H$13</f>
        <v>744</v>
      </c>
      <c r="F13" s="94">
        <f>[21]M05!$H$13</f>
        <v>720</v>
      </c>
      <c r="G13" s="94">
        <f>[21]M06!$H$13</f>
        <v>744</v>
      </c>
      <c r="H13" s="94">
        <f>[21]M07!$H$13</f>
        <v>744</v>
      </c>
      <c r="I13" s="94">
        <f>[21]M08!$H$13</f>
        <v>672</v>
      </c>
      <c r="J13" s="94">
        <f>[21]M09!$H$13</f>
        <v>744</v>
      </c>
      <c r="K13" s="94">
        <f>[21]M10!$H$13</f>
        <v>720</v>
      </c>
      <c r="L13" s="94">
        <f>[21]M11!$H$13</f>
        <v>744</v>
      </c>
      <c r="M13" s="138">
        <f>[21]M12!$H$13</f>
        <v>720</v>
      </c>
      <c r="N13" s="336">
        <f>SUM(B13:M13)</f>
        <v>8760</v>
      </c>
    </row>
    <row r="14" spans="1:14" ht="15" customHeight="1">
      <c r="A14" s="128" t="s">
        <v>100</v>
      </c>
      <c r="B14" s="139">
        <f>[21]M01!$I$13</f>
        <v>8.4931506849315067E-2</v>
      </c>
      <c r="C14" s="140">
        <f>[21]M02!$I$13</f>
        <v>8.493150684931508E-2</v>
      </c>
      <c r="D14" s="140">
        <f>[21]M03!$I$13</f>
        <v>8.2191780821917804E-2</v>
      </c>
      <c r="E14" s="140">
        <f>[21]M04!$I$13</f>
        <v>8.4931506849315067E-2</v>
      </c>
      <c r="F14" s="140">
        <f>[21]M05!$I$13</f>
        <v>8.2191780821917818E-2</v>
      </c>
      <c r="G14" s="140">
        <f>[21]M06!$I$13</f>
        <v>8.4931506849315094E-2</v>
      </c>
      <c r="H14" s="140">
        <f>[21]M07!$I$13</f>
        <v>8.4931506849315053E-2</v>
      </c>
      <c r="I14" s="140">
        <f>[21]M08!$I$13</f>
        <v>7.6712328767123306E-2</v>
      </c>
      <c r="J14" s="140">
        <f>[21]M09!$I$13</f>
        <v>8.493150684931508E-2</v>
      </c>
      <c r="K14" s="140">
        <f>[21]M10!$I$13</f>
        <v>8.2191780821917804E-2</v>
      </c>
      <c r="L14" s="140">
        <f>[21]M11!$I$13</f>
        <v>8.4931506849315053E-2</v>
      </c>
      <c r="M14" s="141">
        <f>[21]M12!$I$13</f>
        <v>8.2191780821917804E-2</v>
      </c>
      <c r="N14" s="142">
        <f>SUM(B14:M14)</f>
        <v>1</v>
      </c>
    </row>
    <row r="16" spans="1:14" ht="20.25" customHeight="1">
      <c r="A16" s="143" t="s">
        <v>25</v>
      </c>
      <c r="B16" s="144">
        <v>1</v>
      </c>
      <c r="C16" s="144">
        <v>2</v>
      </c>
      <c r="D16" s="144">
        <v>3</v>
      </c>
      <c r="E16" s="144">
        <v>4</v>
      </c>
      <c r="F16" s="144">
        <v>5</v>
      </c>
      <c r="G16" s="144">
        <v>6</v>
      </c>
      <c r="H16" s="144">
        <v>7</v>
      </c>
      <c r="I16" s="144">
        <v>8</v>
      </c>
      <c r="J16" s="144">
        <v>9</v>
      </c>
      <c r="K16" s="145">
        <v>10</v>
      </c>
      <c r="L16" s="146" t="s">
        <v>20</v>
      </c>
    </row>
    <row r="17" spans="1:14" ht="25.15" customHeight="1">
      <c r="A17" s="147" t="s">
        <v>101</v>
      </c>
      <c r="B17" s="148" t="s">
        <v>102</v>
      </c>
      <c r="C17" s="148" t="s">
        <v>103</v>
      </c>
      <c r="D17" s="148" t="s">
        <v>104</v>
      </c>
      <c r="E17" s="148" t="s">
        <v>105</v>
      </c>
      <c r="F17" s="148" t="s">
        <v>106</v>
      </c>
      <c r="G17" s="148" t="s">
        <v>107</v>
      </c>
      <c r="H17" s="148" t="s">
        <v>108</v>
      </c>
      <c r="I17" s="148" t="s">
        <v>109</v>
      </c>
      <c r="J17" s="148" t="s">
        <v>110</v>
      </c>
      <c r="K17" s="149" t="s">
        <v>111</v>
      </c>
      <c r="L17" s="150"/>
    </row>
    <row r="18" spans="1:14" ht="20.25" customHeight="1">
      <c r="A18" s="151" t="s">
        <v>112</v>
      </c>
      <c r="L18" s="152"/>
    </row>
    <row r="19" spans="1:14" ht="15" customHeight="1">
      <c r="A19" s="123" t="s">
        <v>113</v>
      </c>
      <c r="B19" s="153">
        <f>[14]Input!B11</f>
        <v>381.78000000000003</v>
      </c>
      <c r="C19" s="154">
        <f>[14]Input!C11</f>
        <v>548.68000000000006</v>
      </c>
      <c r="D19" s="154">
        <f>[14]Input!D11</f>
        <v>194.10000000000005</v>
      </c>
      <c r="E19" s="154">
        <f>[14]Input!E11</f>
        <v>600.05477999999994</v>
      </c>
      <c r="F19" s="154">
        <f>[14]Input!F11</f>
        <v>759.03666989999988</v>
      </c>
      <c r="G19" s="154">
        <f>[14]Input!G11</f>
        <v>281.45999999999998</v>
      </c>
      <c r="H19" s="154">
        <f>[14]Input!H11</f>
        <v>153.142</v>
      </c>
      <c r="I19" s="154">
        <f>[14]Input!I11</f>
        <v>260</v>
      </c>
      <c r="J19" s="154">
        <f>[14]Input!J11</f>
        <v>1376.25</v>
      </c>
      <c r="K19" s="155">
        <f>[14]Input!K11</f>
        <v>254.8</v>
      </c>
      <c r="L19" s="156">
        <f>SUM(B19:K19)</f>
        <v>4809.3034498999996</v>
      </c>
    </row>
    <row r="20" spans="1:14" ht="15" customHeight="1">
      <c r="A20" s="128" t="s">
        <v>22</v>
      </c>
      <c r="B20" s="157">
        <f>[14]Input!B12</f>
        <v>25.58</v>
      </c>
      <c r="C20" s="158">
        <f>[14]Input!C12</f>
        <v>0</v>
      </c>
      <c r="D20" s="158">
        <f>[14]Input!D12</f>
        <v>0.09</v>
      </c>
      <c r="E20" s="158">
        <f>[14]Input!E12</f>
        <v>139.01</v>
      </c>
      <c r="F20" s="158">
        <f>[14]Input!F12</f>
        <v>224.36</v>
      </c>
      <c r="G20" s="158">
        <f>[14]Input!G12</f>
        <v>269.92999999999995</v>
      </c>
      <c r="H20" s="158">
        <f>[14]Input!H12</f>
        <v>1039.24</v>
      </c>
      <c r="I20" s="158">
        <f>[14]Input!I12</f>
        <v>1.5</v>
      </c>
      <c r="J20" s="158">
        <f>[14]Input!J12</f>
        <v>146.54999999999998</v>
      </c>
      <c r="K20" s="159">
        <f>[14]Input!K12</f>
        <v>53.870000000000005</v>
      </c>
      <c r="L20" s="160">
        <f>SUM(B20:K20)</f>
        <v>1900.13</v>
      </c>
    </row>
    <row r="21" spans="1:14" ht="20.25" customHeight="1">
      <c r="A21" s="151" t="s">
        <v>114</v>
      </c>
      <c r="L21" s="152"/>
    </row>
    <row r="22" spans="1:14" ht="15" customHeight="1">
      <c r="A22" s="123" t="s">
        <v>115</v>
      </c>
      <c r="B22" s="153">
        <f>SUM([21]M01!B21*$B$14,[21]M02!B21*$C$14,[21]M03!B21*$D$14,[21]M04!B21*$E$14,[21]M05!B21*$F$14,[21]M06!B21*$G$14,[21]M07!B21*$H$14,[21]M08!B21*$I$14,[21]M09!B21*$J$14,[21]M10!B21*$K$14,[21]M11!B21*$L$14,[21]M12!B21*$M$14)/$N$14</f>
        <v>140.13046287926943</v>
      </c>
      <c r="C22" s="154">
        <f>SUM([21]M01!C21*$B$14,[21]M02!C21*$C$14,[21]M03!C21*$D$14,[21]M04!C21*$E$14,[21]M05!C21*$F$14,[21]M06!C21*$G$14,[21]M07!C21*$H$14,[21]M08!C21*$I$14,[21]M09!C21*$J$14,[21]M10!C21*$K$14,[21]M11!C21*$L$14,[21]M12!C21*$M$14)/$N$14</f>
        <v>229.4448021859246</v>
      </c>
      <c r="D22" s="154">
        <f>SUM([21]M01!D21*$B$14,[21]M02!D21*$C$14,[21]M03!D21*$D$14,[21]M04!D21*$E$14,[21]M05!D21*$F$14,[21]M06!D21*$G$14,[21]M07!D21*$H$14,[21]M08!D21*$I$14,[21]M09!D21*$J$14,[21]M10!D21*$K$14,[21]M11!D21*$L$14,[21]M12!D21*$M$14)/$N$14</f>
        <v>86.833829544760277</v>
      </c>
      <c r="E22" s="154">
        <f>SUM([21]M01!E21*$B$14,[21]M02!E21*$C$14,[21]M03!E21*$D$14,[21]M04!E21*$E$14,[21]M05!E21*$F$14,[21]M06!E21*$G$14,[21]M07!E21*$H$14,[21]M08!E21*$I$14,[21]M09!E21*$J$14,[21]M10!E21*$K$14,[21]M11!E21*$L$14,[21]M12!E21*$M$14)/$N$14</f>
        <v>289.62408004252285</v>
      </c>
      <c r="F22" s="154">
        <f>SUM([21]M01!F21*$B$14,[21]M02!F21*$C$14,[21]M03!F21*$D$14,[21]M04!F21*$E$14,[21]M05!F21*$F$14,[21]M06!F21*$G$14,[21]M07!F21*$H$14,[21]M08!F21*$I$14,[21]M09!F21*$J$14,[21]M10!F21*$K$14,[21]M11!F21*$L$14,[21]M12!F21*$M$14)/$N$14</f>
        <v>137.18683379172376</v>
      </c>
      <c r="G22" s="154">
        <f>SUM([21]M01!G21*$B$14,[21]M02!G21*$C$14,[21]M03!G21*$D$14,[21]M04!G21*$E$14,[21]M05!G21*$F$14,[21]M06!G21*$G$14,[21]M07!G21*$H$14,[21]M08!G21*$I$14,[21]M09!G21*$J$14,[21]M10!G21*$K$14,[21]M11!G21*$L$14,[21]M12!G21*$M$14)/$N$14</f>
        <v>32.668443675627856</v>
      </c>
      <c r="H22" s="154">
        <f>SUM([21]M01!H21*$B$14,[21]M02!H21*$C$14,[21]M03!H21*$D$14,[21]M04!H21*$E$14,[21]M05!H21*$F$14,[21]M06!H21*$G$14,[21]M07!H21*$H$14,[21]M08!H21*$I$14,[21]M09!H21*$J$14,[21]M10!H21*$K$14,[21]M11!H21*$L$14,[21]M12!H21*$M$14)/$N$14</f>
        <v>4.9928669417465743</v>
      </c>
      <c r="I22" s="154">
        <f>SUM([21]M01!I21*$B$14,[21]M02!I21*$C$14,[21]M03!I21*$D$14,[21]M04!I21*$E$14,[21]M05!I21*$F$14,[21]M06!I21*$G$14,[21]M07!I21*$H$14,[21]M08!I21*$I$14,[21]M09!I21*$J$14,[21]M10!I21*$K$14,[21]M11!I21*$L$14,[21]M12!I21*$M$14)/$N$14</f>
        <v>63.270448910639274</v>
      </c>
      <c r="J22" s="154">
        <f>SUM([21]M01!J21*$B$14,[21]M02!J21*$C$14,[21]M03!J21*$D$14,[21]M04!J21*$E$14,[21]M05!J21*$F$14,[21]M06!J21*$G$14,[21]M07!J21*$H$14,[21]M08!J21*$I$14,[21]M09!J21*$J$14,[21]M10!J21*$K$14,[21]M11!J21*$L$14,[21]M12!J21*$M$14)/$N$14</f>
        <v>261.50226969686071</v>
      </c>
      <c r="K22" s="155">
        <f>SUM([21]M01!K21*$B$14,[21]M02!K21*$C$14,[21]M03!K21*$D$14,[21]M04!K21*$E$14,[21]M05!K21*$F$14,[21]M06!K21*$G$14,[21]M07!K21*$H$14,[21]M08!K21*$I$14,[21]M09!K21*$J$14,[21]M10!K21*$K$14,[21]M11!K21*$L$14,[21]M12!K21*$M$14)/$N$14</f>
        <v>141.44117640985164</v>
      </c>
      <c r="L22" s="156">
        <f>SUM(B22:K22)</f>
        <v>1387.0952140789268</v>
      </c>
    </row>
    <row r="23" spans="1:14" ht="15" customHeight="1">
      <c r="A23" s="128" t="s">
        <v>116</v>
      </c>
      <c r="B23" s="157">
        <f>SUM([21]M01!B22*$B$14,[21]M02!B22*$C$14,[21]M03!B22*$D$14,[21]M04!B22*$E$14,[21]M05!B22*$F$14,[21]M06!B22*$G$14,[21]M07!B22*$H$14,[21]M08!B22*$I$14,[21]M09!B22*$J$14,[21]M10!B22*$K$14,[21]M11!B22*$L$14,[21]M12!B22*$M$14)/$N$14</f>
        <v>38.885890854315065</v>
      </c>
      <c r="C23" s="158">
        <f>SUM([21]M01!C22*$B$14,[21]M02!C22*$C$14,[21]M03!C22*$D$14,[21]M04!C22*$E$14,[21]M05!C22*$F$14,[21]M06!C22*$G$14,[21]M07!C22*$H$14,[21]M08!C22*$I$14,[21]M09!C22*$J$14,[21]M10!C22*$K$14,[21]M11!C22*$L$14,[21]M12!C22*$M$14)/$N$14</f>
        <v>0</v>
      </c>
      <c r="D23" s="158">
        <f>SUM([21]M01!D22*$B$14,[21]M02!D22*$C$14,[21]M03!D22*$D$14,[21]M04!D22*$E$14,[21]M05!D22*$F$14,[21]M06!D22*$G$14,[21]M07!D22*$H$14,[21]M08!D22*$I$14,[21]M09!D22*$J$14,[21]M10!D22*$K$14,[21]M11!D22*$L$14,[21]M12!D22*$M$14)/$N$14</f>
        <v>1.8775759600456625E-2</v>
      </c>
      <c r="E23" s="158">
        <f>SUM([21]M01!E22*$B$14,[21]M02!E22*$C$14,[21]M03!E22*$D$14,[21]M04!E22*$E$14,[21]M05!E22*$F$14,[21]M06!E22*$G$14,[21]M07!E22*$H$14,[21]M08!E22*$I$14,[21]M09!E22*$J$14,[21]M10!E22*$K$14,[21]M11!E22*$L$14,[21]M12!E22*$M$14)/$N$14</f>
        <v>71.070873392271693</v>
      </c>
      <c r="F23" s="158">
        <f>SUM([21]M01!F22*$B$14,[21]M02!F22*$C$14,[21]M03!F22*$D$14,[21]M04!F22*$E$14,[21]M05!F22*$F$14,[21]M06!F22*$G$14,[21]M07!F22*$H$14,[21]M08!F22*$I$14,[21]M09!F22*$J$14,[21]M10!F22*$K$14,[21]M11!F22*$L$14,[21]M12!F22*$M$14)/$N$14</f>
        <v>94.959667569372158</v>
      </c>
      <c r="G23" s="158">
        <f>SUM([21]M01!G22*$B$14,[21]M02!G22*$C$14,[21]M03!G22*$D$14,[21]M04!G22*$E$14,[21]M05!G22*$F$14,[21]M06!G22*$G$14,[21]M07!G22*$H$14,[21]M08!G22*$I$14,[21]M09!G22*$J$14,[21]M10!G22*$K$14,[21]M11!G22*$L$14,[21]M12!G22*$M$14)/$N$14</f>
        <v>143.06555892279681</v>
      </c>
      <c r="H23" s="158">
        <f>SUM([21]M01!H22*$B$14,[21]M02!H22*$C$14,[21]M03!H22*$D$14,[21]M04!H22*$E$14,[21]M05!H22*$F$14,[21]M06!H22*$G$14,[21]M07!H22*$H$14,[21]M08!H22*$I$14,[21]M09!H22*$J$14,[21]M10!H22*$K$14,[21]M11!H22*$L$14,[21]M12!H22*$M$14)/$N$14</f>
        <v>846.04018405964621</v>
      </c>
      <c r="I23" s="158">
        <f>SUM([21]M01!I22*$B$14,[21]M02!I22*$C$14,[21]M03!I22*$D$14,[21]M04!I22*$E$14,[21]M05!I22*$F$14,[21]M06!I22*$G$14,[21]M07!I22*$H$14,[21]M08!I22*$I$14,[21]M09!I22*$J$14,[21]M10!I22*$K$14,[21]M11!I22*$L$14,[21]M12!I22*$M$14)/$N$14</f>
        <v>0.39375814041095891</v>
      </c>
      <c r="J23" s="158">
        <f>SUM([21]M01!J22*$B$14,[21]M02!J22*$C$14,[21]M03!J22*$D$14,[21]M04!J22*$E$14,[21]M05!J22*$F$14,[21]M06!J22*$G$14,[21]M07!J22*$H$14,[21]M08!J22*$I$14,[21]M09!J22*$J$14,[21]M10!J22*$K$14,[21]M11!J22*$L$14,[21]M12!J22*$M$14)/$N$14</f>
        <v>95.285071619840167</v>
      </c>
      <c r="K23" s="159">
        <f>SUM([21]M01!K22*$B$14,[21]M02!K22*$C$14,[21]M03!K22*$D$14,[21]M04!K22*$E$14,[21]M05!K22*$F$14,[21]M06!K22*$G$14,[21]M07!K22*$H$14,[21]M08!K22*$I$14,[21]M09!K22*$J$14,[21]M10!K22*$K$14,[21]M11!K22*$L$14,[21]M12!K22*$M$14)/$N$14</f>
        <v>28.96723701930366</v>
      </c>
      <c r="L23" s="160">
        <f>SUM(B23:K23)</f>
        <v>1318.6870173375571</v>
      </c>
    </row>
    <row r="24" spans="1:14" ht="20.25" customHeight="1">
      <c r="A24" s="151" t="s">
        <v>117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152"/>
    </row>
    <row r="25" spans="1:14" ht="15" customHeight="1">
      <c r="A25" s="123" t="s">
        <v>118</v>
      </c>
      <c r="B25" s="153">
        <f>SUM([21]M01!B24,[21]M02!B24,[21]M03!B24,[21]M04!B24,[21]M05!B24,[21]M06!B24,[21]M07!B24,[21]M08!B24,[21]M09!B24,[21]M10!B24,[21]M11!B24,[21]M12!B24)</f>
        <v>1227.5428548223999</v>
      </c>
      <c r="C25" s="154">
        <f>SUM([21]M01!C24,[21]M02!C24,[21]M03!C24,[21]M04!C24,[21]M05!C24,[21]M06!C24,[21]M07!C24,[21]M08!C24,[21]M09!C24,[21]M10!C24,[21]M11!C24,[21]M12!C24)</f>
        <v>2009.9364671486999</v>
      </c>
      <c r="D25" s="154">
        <f>SUM([21]M01!D24,[21]M02!D24,[21]M03!D24,[21]M04!D24,[21]M05!D24,[21]M06!D24,[21]M07!D24,[21]M08!D24,[21]M09!D24,[21]M10!D24,[21]M11!D24,[21]M12!D24)</f>
        <v>760.66434681210012</v>
      </c>
      <c r="E25" s="154">
        <f>SUM([21]M01!E24,[21]M02!E24,[21]M03!E24,[21]M04!E24,[21]M05!E24,[21]M06!E24,[21]M07!E24,[21]M08!E24,[21]M09!E24,[21]M10!E24,[21]M11!E24,[21]M12!E24)</f>
        <v>2537.1069411725002</v>
      </c>
      <c r="F25" s="154">
        <f>SUM([21]M01!F24,[21]M02!F24,[21]M03!F24,[21]M04!F24,[21]M05!F24,[21]M06!F24,[21]M07!F24,[21]M08!F24,[21]M09!F24,[21]M10!F24,[21]M11!F24,[21]M12!F24)</f>
        <v>1201.7566640154998</v>
      </c>
      <c r="G25" s="154">
        <f>SUM([21]M01!G24,[21]M02!G24,[21]M03!G24,[21]M04!G24,[21]M05!G24,[21]M06!G24,[21]M07!G24,[21]M08!G24,[21]M09!G24,[21]M10!G24,[21]M11!G24,[21]M12!G24)</f>
        <v>286.17556659849998</v>
      </c>
      <c r="H25" s="154">
        <f>SUM([21]M01!H24,[21]M02!H24,[21]M03!H24,[21]M04!H24,[21]M05!H24,[21]M06!H24,[21]M07!H24,[21]M08!H24,[21]M09!H24,[21]M10!H24,[21]M11!H24,[21]M12!H24)</f>
        <v>43.737514409700005</v>
      </c>
      <c r="I25" s="154">
        <f>SUM([21]M01!I24,[21]M02!I24,[21]M03!I24,[21]M04!I24,[21]M05!I24,[21]M06!I24,[21]M07!I24,[21]M08!I24,[21]M09!I24,[21]M10!I24,[21]M11!I24,[21]M12!I24)</f>
        <v>554.24913245719995</v>
      </c>
      <c r="J25" s="154">
        <f>SUM([21]M01!J24,[21]M02!J24,[21]M03!J24,[21]M04!J24,[21]M05!J24,[21]M06!J24,[21]M07!J24,[21]M08!J24,[21]M09!J24,[21]M10!J24,[21]M11!J24,[21]M12!J24)</f>
        <v>2290.7598825444998</v>
      </c>
      <c r="K25" s="155">
        <f>SUM([21]M01!K24,[21]M02!K24,[21]M03!K24,[21]M04!K24,[21]M05!K24,[21]M06!K24,[21]M07!K24,[21]M08!K24,[21]M09!K24,[21]M10!K24,[21]M11!K24,[21]M12!K24)</f>
        <v>1239.0247053503001</v>
      </c>
      <c r="L25" s="156">
        <f>SUM(B25:K25)</f>
        <v>12150.954075331401</v>
      </c>
    </row>
    <row r="26" spans="1:14" ht="15" customHeight="1">
      <c r="A26" s="128" t="s">
        <v>119</v>
      </c>
      <c r="B26" s="157">
        <f>SUM([21]M01!B25,[21]M02!B25,[21]M03!B25,[21]M04!B25,[21]M05!B25,[21]M06!B25,[21]M07!B25,[21]M08!B25,[21]M09!B25,[21]M10!B25,[21]M11!B25,[21]M12!B25)</f>
        <v>340.64040388379999</v>
      </c>
      <c r="C26" s="158">
        <f>SUM([21]M01!C25,[21]M02!C25,[21]M03!C25,[21]M04!C25,[21]M05!C25,[21]M06!C25,[21]M07!C25,[21]M08!C25,[21]M09!C25,[21]M10!C25,[21]M11!C25,[21]M12!C25)</f>
        <v>0</v>
      </c>
      <c r="D26" s="158">
        <f>SUM([21]M01!D25,[21]M02!D25,[21]M03!D25,[21]M04!D25,[21]M05!D25,[21]M06!D25,[21]M07!D25,[21]M08!D25,[21]M09!D25,[21]M10!D25,[21]M11!D25,[21]M12!D25)</f>
        <v>0.16447565410000003</v>
      </c>
      <c r="E26" s="158">
        <f>SUM([21]M01!E25,[21]M02!E25,[21]M03!E25,[21]M04!E25,[21]M05!E25,[21]M06!E25,[21]M07!E25,[21]M08!E25,[21]M09!E25,[21]M10!E25,[21]M11!E25,[21]M12!E25)</f>
        <v>622.58085091629994</v>
      </c>
      <c r="F26" s="158">
        <f>SUM([21]M01!F25,[21]M02!F25,[21]M03!F25,[21]M04!F25,[21]M05!F25,[21]M06!F25,[21]M07!F25,[21]M08!F25,[21]M09!F25,[21]M10!F25,[21]M11!F25,[21]M12!F25)</f>
        <v>831.84668790770013</v>
      </c>
      <c r="G26" s="158">
        <f>SUM([21]M01!G25,[21]M02!G25,[21]M03!G25,[21]M04!G25,[21]M05!G25,[21]M06!G25,[21]M07!G25,[21]M08!G25,[21]M09!G25,[21]M10!G25,[21]M11!G25,[21]M12!G25)</f>
        <v>1253.2542961637002</v>
      </c>
      <c r="H26" s="158">
        <f>SUM([21]M01!H25,[21]M02!H25,[21]M03!H25,[21]M04!H25,[21]M05!H25,[21]M06!H25,[21]M07!H25,[21]M08!H25,[21]M09!H25,[21]M10!H25,[21]M11!H25,[21]M12!H25)</f>
        <v>7411.3120123624994</v>
      </c>
      <c r="I26" s="158">
        <f>SUM([21]M01!I25,[21]M02!I25,[21]M03!I25,[21]M04!I25,[21]M05!I25,[21]M06!I25,[21]M07!I25,[21]M08!I25,[21]M09!I25,[21]M10!I25,[21]M11!I25,[21]M12!I25)</f>
        <v>3.4493213099999998</v>
      </c>
      <c r="J26" s="158">
        <f>SUM([21]M01!J25,[21]M02!J25,[21]M03!J25,[21]M04!J25,[21]M05!J25,[21]M06!J25,[21]M07!J25,[21]M08!J25,[21]M09!J25,[21]M10!J25,[21]M11!J25,[21]M12!J25)</f>
        <v>834.69722738979988</v>
      </c>
      <c r="K26" s="159">
        <f>SUM([21]M01!K25,[21]M02!K25,[21]M03!K25,[21]M04!K25,[21]M05!K25,[21]M06!K25,[21]M07!K25,[21]M08!K25,[21]M09!K25,[21]M10!K25,[21]M11!K25,[21]M12!K25)</f>
        <v>253.75299628910003</v>
      </c>
      <c r="L26" s="160">
        <f>SUM(B26:K26)</f>
        <v>11551.698271877</v>
      </c>
    </row>
    <row r="27" spans="1:14" ht="9.9499999999999993" customHeight="1"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2"/>
      <c r="N27" s="163"/>
    </row>
    <row r="28" spans="1:14" ht="20.25" customHeight="1">
      <c r="A28" s="151" t="s">
        <v>120</v>
      </c>
      <c r="L28" s="152"/>
      <c r="N28" s="163"/>
    </row>
    <row r="29" spans="1:14" ht="15" customHeight="1">
      <c r="A29" s="164" t="s">
        <v>64</v>
      </c>
      <c r="B29" s="165">
        <f>SUM([21]M01!B27*$B$14,[21]M02!B27*$C$14,[21]M03!B27*$D$14,[21]M04!B27*$E$14,[21]M05!B27*$F$14,[21]M06!B27*$G$14,[21]M07!B27*$H$14,[21]M08!B27*$I$14,[21]M09!B27*$J$14,[21]M10!B27*$K$14,[21]M11!B27*$L$14,[21]M12!B27*$M$14)/$N$14</f>
        <v>2.444702053870504</v>
      </c>
      <c r="C29" s="166">
        <f>SUM([21]M01!C27*$B$14,[21]M02!C27*$C$14,[21]M03!C27*$D$14,[21]M04!C27*$E$14,[21]M05!C27*$F$14,[21]M06!C27*$G$14,[21]M07!C27*$H$14,[21]M08!C27*$I$14,[21]M09!C27*$J$14,[21]M10!C27*$K$14,[21]M11!C27*$L$14,[21]M12!C27*$M$14)/$N$14</f>
        <v>5.0173576348344788</v>
      </c>
      <c r="D29" s="166">
        <f>SUM([21]M01!D27*$B$14,[21]M02!D27*$C$14,[21]M03!D27*$D$14,[21]M04!D27*$E$14,[21]M05!D27*$F$14,[21]M06!D27*$G$14,[21]M07!D27*$H$14,[21]M08!D27*$I$14,[21]M09!D27*$J$14,[21]M10!D27*$K$14,[21]M11!D27*$L$14,[21]M12!D27*$M$14)/$N$14</f>
        <v>4.8487042317852058</v>
      </c>
      <c r="E29" s="166">
        <f>SUM([21]M01!E27*$B$14,[21]M02!E27*$C$14,[21]M03!E27*$D$14,[21]M04!E27*$E$14,[21]M05!E27*$F$14,[21]M06!E27*$G$14,[21]M07!E27*$H$14,[21]M08!E27*$I$14,[21]M09!E27*$J$14,[21]M10!E27*$K$14,[21]M11!E27*$L$14,[21]M12!E27*$M$14)/$N$14</f>
        <v>3.7370864044501944</v>
      </c>
      <c r="F29" s="166">
        <f>SUM([21]M01!F27*$B$14,[21]M02!F27*$C$14,[21]M03!F27*$D$14,[21]M04!F27*$E$14,[21]M05!F27*$F$14,[21]M06!F27*$G$14,[21]M07!F27*$H$14,[21]M08!F27*$I$14,[21]M09!F27*$J$14,[21]M10!F27*$K$14,[21]M11!F27*$L$14,[21]M12!F27*$M$14)/$N$14</f>
        <v>1.6804817755402968</v>
      </c>
      <c r="G29" s="166">
        <f>SUM([21]M01!G27*$B$14,[21]M02!G27*$C$14,[21]M03!G27*$D$14,[21]M04!G27*$E$14,[21]M05!G27*$F$14,[21]M06!G27*$G$14,[21]M07!G27*$H$14,[21]M08!G27*$I$14,[21]M09!G27*$J$14,[21]M10!G27*$K$14,[21]M11!G27*$L$14,[21]M12!G27*$M$14)/$N$14</f>
        <v>1.5660235760132692</v>
      </c>
      <c r="H29" s="166">
        <f>SUM([21]M01!H27*$B$14,[21]M02!H27*$C$14,[21]M03!H27*$D$14,[21]M04!H27*$E$14,[21]M05!H27*$F$14,[21]M06!H27*$G$14,[21]M07!H27*$H$14,[21]M08!H27*$I$14,[21]M09!H27*$J$14,[21]M10!H27*$K$14,[21]M11!H27*$L$14,[21]M12!H27*$M$14)/$N$14</f>
        <v>7.0129451065991097E-2</v>
      </c>
      <c r="I29" s="166">
        <f>SUM([21]M01!I27*$B$14,[21]M02!I27*$C$14,[21]M03!I27*$D$14,[21]M04!I27*$E$14,[21]M05!I27*$F$14,[21]M06!I27*$G$14,[21]M07!I27*$H$14,[21]M08!I27*$I$14,[21]M09!I27*$J$14,[21]M10!I27*$K$14,[21]M11!I27*$L$14,[21]M12!I27*$M$14)/$N$14</f>
        <v>0.80229610281827524</v>
      </c>
      <c r="J29" s="166">
        <f>SUM([21]M01!J27*$B$14,[21]M02!J27*$C$14,[21]M03!J27*$D$14,[21]M04!J27*$E$14,[21]M05!J27*$F$14,[21]M06!J27*$G$14,[21]M07!J27*$H$14,[21]M08!J27*$I$14,[21]M09!J27*$J$14,[21]M10!J27*$K$14,[21]M11!J27*$L$14,[21]M12!J27*$M$14)/$N$14</f>
        <v>0.61934616125004838</v>
      </c>
      <c r="K29" s="167">
        <f>SUM([21]M01!K27*$B$14,[21]M02!K27*$C$14,[21]M03!K27*$D$14,[21]M04!K27*$E$14,[21]M05!K27*$F$14,[21]M06!K27*$G$14,[21]M07!K27*$H$14,[21]M08!K27*$I$14,[21]M09!K27*$J$14,[21]M10!K27*$K$14,[21]M11!K27*$L$14,[21]M12!K27*$M$14)/$N$14</f>
        <v>5.448960614504621</v>
      </c>
      <c r="L29" s="152"/>
      <c r="N29" s="163"/>
    </row>
    <row r="30" spans="1:14" ht="15" customHeight="1">
      <c r="A30" s="168" t="s">
        <v>121</v>
      </c>
      <c r="B30" s="169">
        <f>SUM([21]M01!B28*$B$14,[21]M02!B28*$C$14,[21]M03!B28*$D$14,[21]M04!B28*$E$14,[21]M05!B28*$F$14,[21]M06!B28*$G$14,[21]M07!B28*$H$14,[21]M08!B28*$I$14,[21]M09!B28*$J$14,[21]M10!B28*$K$14,[21]M11!B28*$L$14,[21]M12!B28*$M$14)/$N$14</f>
        <v>6.2598131917112748E-2</v>
      </c>
      <c r="C30" s="170">
        <f>SUM([21]M01!C28*$B$14,[21]M02!C28*$C$14,[21]M03!C28*$D$14,[21]M04!C28*$E$14,[21]M05!C28*$F$14,[21]M06!C28*$G$14,[21]M07!C28*$H$14,[21]M08!C28*$I$14,[21]M09!C28*$J$14,[21]M10!C28*$K$14,[21]M11!C28*$L$14,[21]M12!C28*$M$14)/$N$14</f>
        <v>0</v>
      </c>
      <c r="D30" s="170">
        <f>SUM([21]M01!D28*$B$14,[21]M02!D28*$C$14,[21]M03!D28*$D$14,[21]M04!D28*$E$14,[21]M05!D28*$F$14,[21]M06!D28*$G$14,[21]M07!D28*$H$14,[21]M08!D28*$I$14,[21]M09!D28*$J$14,[21]M10!D28*$K$14,[21]M11!D28*$L$14,[21]M12!D28*$M$14)/$N$14</f>
        <v>0</v>
      </c>
      <c r="E30" s="170">
        <f>SUM([21]M01!E28*$B$14,[21]M02!E28*$C$14,[21]M03!E28*$D$14,[21]M04!E28*$E$14,[21]M05!E28*$F$14,[21]M06!E28*$G$14,[21]M07!E28*$H$14,[21]M08!E28*$I$14,[21]M09!E28*$J$14,[21]M10!E28*$K$14,[21]M11!E28*$L$14,[21]M12!E28*$M$14)/$N$14</f>
        <v>2.1894596868352489</v>
      </c>
      <c r="F30" s="170">
        <f>SUM([21]M01!F28*$B$14,[21]M02!F28*$C$14,[21]M03!F28*$D$14,[21]M04!F28*$E$14,[21]M05!F28*$F$14,[21]M06!F28*$G$14,[21]M07!F28*$H$14,[21]M08!F28*$I$14,[21]M09!F28*$J$14,[21]M10!F28*$K$14,[21]M11!F28*$L$14,[21]M12!F28*$M$14)/$N$14</f>
        <v>3.4707014584604781</v>
      </c>
      <c r="G30" s="170">
        <f>SUM([21]M01!G28*$B$14,[21]M02!G28*$C$14,[21]M03!G28*$D$14,[21]M04!G28*$E$14,[21]M05!G28*$F$14,[21]M06!G28*$G$14,[21]M07!G28*$H$14,[21]M08!G28*$I$14,[21]M09!G28*$J$14,[21]M10!G28*$K$14,[21]M11!G28*$L$14,[21]M12!G28*$M$14)/$N$14</f>
        <v>4.2665125403408348</v>
      </c>
      <c r="H30" s="170">
        <f>SUM([21]M01!H28*$B$14,[21]M02!H28*$C$14,[21]M03!H28*$D$14,[21]M04!H28*$E$14,[21]M05!H28*$F$14,[21]M06!H28*$G$14,[21]M07!H28*$H$14,[21]M08!H28*$I$14,[21]M09!H28*$J$14,[21]M10!H28*$K$14,[21]M11!H28*$L$14,[21]M12!H28*$M$14)/$N$14</f>
        <v>3.1145860543235688</v>
      </c>
      <c r="I30" s="170">
        <f>SUM([21]M01!I28*$B$14,[21]M02!I28*$C$14,[21]M03!I28*$D$14,[21]M04!I28*$E$14,[21]M05!I28*$F$14,[21]M06!I28*$G$14,[21]M07!I28*$H$14,[21]M08!I28*$I$14,[21]M09!I28*$J$14,[21]M10!I28*$K$14,[21]M11!I28*$L$14,[21]M12!I28*$M$14)/$N$14</f>
        <v>0</v>
      </c>
      <c r="J30" s="170">
        <f>SUM([21]M01!J28*$B$14,[21]M02!J28*$C$14,[21]M03!J28*$D$14,[21]M04!J28*$E$14,[21]M05!J28*$F$14,[21]M06!J28*$G$14,[21]M07!J28*$H$14,[21]M08!J28*$I$14,[21]M09!J28*$J$14,[21]M10!J28*$K$14,[21]M11!J28*$L$14,[21]M12!J28*$M$14)/$N$14</f>
        <v>6.6388622529433761</v>
      </c>
      <c r="K30" s="171">
        <f>SUM([21]M01!K28*$B$14,[21]M02!K28*$C$14,[21]M03!K28*$D$14,[21]M04!K28*$E$14,[21]M05!K28*$F$14,[21]M06!K28*$G$14,[21]M07!K28*$H$14,[21]M08!K28*$I$14,[21]M09!K28*$J$14,[21]M10!K28*$K$14,[21]M11!K28*$L$14,[21]M12!K28*$M$14)/$N$14</f>
        <v>0.87602297333009527</v>
      </c>
      <c r="L30" s="152"/>
      <c r="N30" s="163"/>
    </row>
    <row r="31" spans="1:14" ht="20.25" customHeight="1">
      <c r="A31" s="151" t="s">
        <v>122</v>
      </c>
      <c r="L31" s="152"/>
      <c r="N31" s="163"/>
    </row>
    <row r="32" spans="1:14" ht="15" customHeight="1">
      <c r="A32" s="172" t="s">
        <v>123</v>
      </c>
      <c r="B32" s="173">
        <f>SUM([21]M01!B30,[21]M02!B30,[21]M03!B30,[21]M04!B30,[21]M05!B30,[21]M06!B30,[21]M07!B30,[21]M08!B30,[21]M09!B30,[21]M10!B30,[21]M11!B30,[21]M12!B30)</f>
        <v>6.4833774268334992</v>
      </c>
      <c r="L32" s="152"/>
      <c r="N32" s="163"/>
    </row>
    <row r="33" spans="1:14" ht="15" customHeight="1">
      <c r="A33" s="174" t="s">
        <v>124</v>
      </c>
      <c r="B33" s="175">
        <f>SUM([21]M01!B31,[21]M02!B31,[21]M03!B31,[21]M04!B31,[21]M05!B31,[21]M06!B31,[21]M07!B31,[21]M08!B31,[21]M09!B31,[21]M10!B31,[21]M11!B31,[21]M12!B31)</f>
        <v>18.027172857781782</v>
      </c>
      <c r="L33" s="152"/>
      <c r="N33" s="163"/>
    </row>
    <row r="34" spans="1:14" ht="20.25" hidden="1" customHeight="1">
      <c r="A34" s="151" t="s">
        <v>125</v>
      </c>
      <c r="L34" s="152"/>
      <c r="N34" s="163"/>
    </row>
    <row r="35" spans="1:14" ht="15" hidden="1" customHeight="1">
      <c r="A35" s="172" t="s">
        <v>123</v>
      </c>
      <c r="B35" s="173" t="e">
        <f>SUM([21]M01!#REF!,[21]M02!#REF!,[21]M03!#REF!,[21]M04!#REF!,[21]M05!#REF!,[21]M06!#REF!,[21]M07!#REF!,[21]M08!#REF!,[21]M09!#REF!,[21]M10!#REF!,[21]M11!#REF!,[21]M12!#REF!)</f>
        <v>#REF!</v>
      </c>
      <c r="L35" s="152"/>
      <c r="N35" s="163"/>
    </row>
    <row r="36" spans="1:14" ht="15" hidden="1" customHeight="1">
      <c r="A36" s="174" t="s">
        <v>124</v>
      </c>
      <c r="B36" s="175" t="e">
        <f>SUM([21]M01!#REF!,[21]M02!#REF!,[21]M03!#REF!,[21]M04!#REF!,[21]M05!#REF!,[21]M06!#REF!,[21]M07!#REF!,[21]M08!#REF!,[21]M09!#REF!,[21]M10!#REF!,[21]M11!#REF!,[21]M12!#REF!)</f>
        <v>#REF!</v>
      </c>
      <c r="L36" s="152"/>
      <c r="N36" s="163"/>
    </row>
    <row r="37" spans="1:14" ht="20.25" customHeight="1">
      <c r="A37" s="151" t="s">
        <v>126</v>
      </c>
      <c r="L37" s="152"/>
      <c r="N37" s="163"/>
    </row>
    <row r="38" spans="1:14" ht="15" customHeight="1">
      <c r="A38" s="176" t="s">
        <v>121</v>
      </c>
      <c r="B38" s="177">
        <f>SUM([21]M01!B33*$B$14,[21]M02!B33*$C$14,[21]M03!B33*$D$14,[21]M04!B33*$E$14,[21]M05!B33*$F$14,[21]M06!B33*$G$14,[21]M07!B33*$H$14,[21]M08!B33*$I$14,[21]M09!B33*$J$14,[21]M10!B33*$K$14,[21]M11!B33*$L$14,[21]M12!B33*$M$14)/$N$14</f>
        <v>0</v>
      </c>
      <c r="C38" s="178">
        <f>SUM([21]M01!C33*$B$14,[21]M02!C33*$C$14,[21]M03!C33*$D$14,[21]M04!C33*$E$14,[21]M05!C33*$F$14,[21]M06!C33*$G$14,[21]M07!C33*$H$14,[21]M08!C33*$I$14,[21]M09!C33*$J$14,[21]M10!C33*$K$14,[21]M11!C33*$L$14,[21]M12!C33*$M$14)/$N$14</f>
        <v>0</v>
      </c>
      <c r="D38" s="178">
        <f>SUM([21]M01!D33*$B$14,[21]M02!D33*$C$14,[21]M03!D33*$D$14,[21]M04!D33*$E$14,[21]M05!D33*$F$14,[21]M06!D33*$G$14,[21]M07!D33*$H$14,[21]M08!D33*$I$14,[21]M09!D33*$J$14,[21]M10!D33*$K$14,[21]M11!D33*$L$14,[21]M12!D33*$M$14)/$N$14</f>
        <v>0</v>
      </c>
      <c r="E38" s="178">
        <f>SUM([21]M01!E33*$B$14,[21]M02!E33*$C$14,[21]M03!E33*$D$14,[21]M04!E33*$E$14,[21]M05!E33*$F$14,[21]M06!E33*$G$14,[21]M07!E33*$H$14,[21]M08!E33*$I$14,[21]M09!E33*$J$14,[21]M10!E33*$K$14,[21]M11!E33*$L$14,[21]M12!E33*$M$14)/$N$14</f>
        <v>0</v>
      </c>
      <c r="F38" s="178">
        <f>SUM([21]M01!F33*$B$14,[21]M02!F33*$C$14,[21]M03!F33*$D$14,[21]M04!F33*$E$14,[21]M05!F33*$F$14,[21]M06!F33*$G$14,[21]M07!F33*$H$14,[21]M08!F33*$I$14,[21]M09!F33*$J$14,[21]M10!F33*$K$14,[21]M11!F33*$L$14,[21]M12!F33*$M$14)/$N$14</f>
        <v>0</v>
      </c>
      <c r="G38" s="178">
        <f>SUM([21]M01!G33*$B$14,[21]M02!G33*$C$14,[21]M03!G33*$D$14,[21]M04!G33*$E$14,[21]M05!G33*$F$14,[21]M06!G33*$G$14,[21]M07!G33*$H$14,[21]M08!G33*$I$14,[21]M09!G33*$J$14,[21]M10!G33*$K$14,[21]M11!G33*$L$14,[21]M12!G33*$M$14)/$N$14</f>
        <v>0</v>
      </c>
      <c r="H38" s="178">
        <f>SUM([21]M01!H33*$B$14,[21]M02!H33*$C$14,[21]M03!H33*$D$14,[21]M04!H33*$E$14,[21]M05!H33*$F$14,[21]M06!H33*$G$14,[21]M07!H33*$H$14,[21]M08!H33*$I$14,[21]M09!H33*$J$14,[21]M10!H33*$K$14,[21]M11!H33*$L$14,[21]M12!H33*$M$14)/$N$14</f>
        <v>0</v>
      </c>
      <c r="I38" s="178">
        <f>SUM([21]M01!I33*$B$14,[21]M02!I33*$C$14,[21]M03!I33*$D$14,[21]M04!I33*$E$14,[21]M05!I33*$F$14,[21]M06!I33*$G$14,[21]M07!I33*$H$14,[21]M08!I33*$I$14,[21]M09!I33*$J$14,[21]M10!I33*$K$14,[21]M11!I33*$L$14,[21]M12!I33*$M$14)/$N$14</f>
        <v>0</v>
      </c>
      <c r="J38" s="178">
        <f>SUM([21]M01!J33*$B$14,[21]M02!J33*$C$14,[21]M03!J33*$D$14,[21]M04!J33*$E$14,[21]M05!J33*$F$14,[21]M06!J33*$G$14,[21]M07!J33*$H$14,[21]M08!J33*$I$14,[21]M09!J33*$J$14,[21]M10!J33*$K$14,[21]M11!J33*$L$14,[21]M12!J33*$M$14)/$N$14</f>
        <v>0</v>
      </c>
      <c r="K38" s="179">
        <f>SUM([21]M01!K33*$B$14,[21]M02!K33*$C$14,[21]M03!K33*$D$14,[21]M04!K33*$E$14,[21]M05!K33*$F$14,[21]M06!K33*$G$14,[21]M07!K33*$H$14,[21]M08!K33*$I$14,[21]M09!K33*$J$14,[21]M10!K33*$K$14,[21]M11!K33*$L$14,[21]M12!K33*$M$14)/$N$14</f>
        <v>0</v>
      </c>
      <c r="L38" s="152"/>
      <c r="N38" s="163"/>
    </row>
    <row r="39" spans="1:14" ht="20.25" customHeight="1">
      <c r="A39" s="151" t="s">
        <v>127</v>
      </c>
      <c r="L39" s="152"/>
      <c r="N39" s="163"/>
    </row>
    <row r="40" spans="1:14" ht="15" customHeight="1">
      <c r="A40" s="174" t="s">
        <v>124</v>
      </c>
      <c r="B40" s="175">
        <f>SUM([21]M01!I34,[21]M02!I34,[21]M03!I34,[21]M04!I34,[21]M05!I34,[21]M06!I34,[21]M07!I34,[21]M08!I34,[21]M09!I34,[21]M10!I34,[21]M11!I34,[21]M12!I34)</f>
        <v>0</v>
      </c>
      <c r="L40" s="152"/>
      <c r="N40" s="163"/>
    </row>
    <row r="41" spans="1:14" ht="9.9499999999999993" customHeight="1">
      <c r="L41" s="152"/>
      <c r="N41" s="163"/>
    </row>
    <row r="42" spans="1:14" ht="9.9499999999999993" customHeight="1" thickBot="1">
      <c r="L42" s="152"/>
      <c r="N42" s="163"/>
    </row>
    <row r="43" spans="1:14" ht="20.25" customHeight="1" thickTop="1">
      <c r="A43" s="180" t="s">
        <v>128</v>
      </c>
      <c r="B43" s="181"/>
      <c r="C43" s="181"/>
      <c r="D43" s="181"/>
      <c r="E43" s="181"/>
      <c r="F43" s="181"/>
      <c r="G43" s="181"/>
      <c r="H43" s="181"/>
      <c r="I43" s="181"/>
      <c r="J43" s="181"/>
      <c r="K43" s="182"/>
      <c r="L43" s="183"/>
      <c r="N43" s="163"/>
    </row>
    <row r="44" spans="1:14" ht="15" customHeight="1">
      <c r="A44" s="184" t="s">
        <v>64</v>
      </c>
      <c r="B44" s="185">
        <f>IFERROR(B54/B25,0)</f>
        <v>2.2789127745281421</v>
      </c>
      <c r="C44" s="186">
        <f t="shared" ref="C44:K44" si="0">IFERROR(C54/C25,0)</f>
        <v>3.8100950302231955</v>
      </c>
      <c r="D44" s="186">
        <f t="shared" si="0"/>
        <v>4.0030998039678414</v>
      </c>
      <c r="E44" s="186">
        <f t="shared" si="0"/>
        <v>3.3229954792875587</v>
      </c>
      <c r="F44" s="186">
        <f t="shared" si="0"/>
        <v>1.9392562764991059</v>
      </c>
      <c r="G44" s="186">
        <f t="shared" si="0"/>
        <v>1.7489768167574269</v>
      </c>
      <c r="H44" s="186">
        <f t="shared" si="0"/>
        <v>0.50411269432333183</v>
      </c>
      <c r="I44" s="186">
        <f t="shared" si="0"/>
        <v>1.1768100803514527</v>
      </c>
      <c r="J44" s="186">
        <f t="shared" si="0"/>
        <v>0.87706235103079522</v>
      </c>
      <c r="K44" s="187">
        <f t="shared" si="0"/>
        <v>5.0256498758644783</v>
      </c>
      <c r="L44" s="183"/>
      <c r="N44" s="163"/>
    </row>
    <row r="45" spans="1:14" ht="15" customHeight="1">
      <c r="A45" s="188" t="s">
        <v>121</v>
      </c>
      <c r="B45" s="189">
        <f t="shared" ref="B45:K45" si="1">IFERROR(B55/B26,0)</f>
        <v>1.3998084807488849E-2</v>
      </c>
      <c r="C45" s="189">
        <f t="shared" si="1"/>
        <v>0</v>
      </c>
      <c r="D45" s="189">
        <f t="shared" si="1"/>
        <v>0</v>
      </c>
      <c r="E45" s="189">
        <f t="shared" si="1"/>
        <v>2.0849767650756359</v>
      </c>
      <c r="F45" s="189">
        <f t="shared" si="1"/>
        <v>3.4558384344125463</v>
      </c>
      <c r="G45" s="189">
        <f t="shared" si="1"/>
        <v>4.3087040567647676</v>
      </c>
      <c r="H45" s="189">
        <f t="shared" si="1"/>
        <v>3.0611805251729223</v>
      </c>
      <c r="I45" s="189">
        <f t="shared" si="1"/>
        <v>0</v>
      </c>
      <c r="J45" s="189">
        <f t="shared" si="1"/>
        <v>6.5615262811658903</v>
      </c>
      <c r="K45" s="190">
        <f t="shared" si="1"/>
        <v>0.61734201980345393</v>
      </c>
      <c r="L45" s="183"/>
      <c r="N45" s="163"/>
    </row>
    <row r="46" spans="1:14" ht="20.25" customHeight="1">
      <c r="A46" s="191" t="s">
        <v>129</v>
      </c>
      <c r="B46" s="192"/>
      <c r="C46" s="192"/>
      <c r="D46" s="192"/>
      <c r="E46" s="192"/>
      <c r="F46" s="192"/>
      <c r="G46" s="192"/>
      <c r="H46" s="192"/>
      <c r="I46" s="193"/>
      <c r="J46" s="193"/>
      <c r="K46" s="194"/>
      <c r="L46" s="183"/>
      <c r="N46" s="195"/>
    </row>
    <row r="47" spans="1:14" ht="15" customHeight="1">
      <c r="A47" s="196" t="s">
        <v>123</v>
      </c>
      <c r="B47" s="197">
        <f>B32</f>
        <v>6.4833774268334992</v>
      </c>
      <c r="C47" s="198"/>
      <c r="D47" s="198"/>
      <c r="E47" s="193"/>
      <c r="F47" s="193"/>
      <c r="G47" s="193"/>
      <c r="H47" s="192"/>
      <c r="I47" s="193"/>
      <c r="J47" s="193"/>
      <c r="K47" s="194"/>
      <c r="L47" s="183"/>
      <c r="N47" s="199"/>
    </row>
    <row r="48" spans="1:14" ht="15" customHeight="1">
      <c r="A48" s="200" t="s">
        <v>124</v>
      </c>
      <c r="B48" s="201">
        <f>B33+B40</f>
        <v>18.027172857781782</v>
      </c>
      <c r="C48" s="198"/>
      <c r="D48" s="198"/>
      <c r="E48" s="193"/>
      <c r="F48" s="193"/>
      <c r="G48" s="193"/>
      <c r="H48" s="192"/>
      <c r="I48" s="193"/>
      <c r="J48" s="193"/>
      <c r="K48" s="194"/>
      <c r="L48" s="183"/>
      <c r="N48" s="199"/>
    </row>
    <row r="49" spans="1:14" ht="9.9499999999999993" customHeight="1" thickBot="1">
      <c r="A49" s="202"/>
      <c r="B49" s="203"/>
      <c r="C49" s="204"/>
      <c r="D49" s="204"/>
      <c r="E49" s="204"/>
      <c r="F49" s="204"/>
      <c r="G49" s="204"/>
      <c r="H49" s="204"/>
      <c r="I49" s="204"/>
      <c r="J49" s="204"/>
      <c r="K49" s="205"/>
      <c r="L49" s="183"/>
      <c r="N49" s="163"/>
    </row>
    <row r="50" spans="1:14" ht="9.9499999999999993" customHeight="1" thickTop="1">
      <c r="B50" s="206"/>
      <c r="L50" s="152"/>
      <c r="N50" s="163"/>
    </row>
    <row r="51" spans="1:14" ht="20.25" customHeight="1">
      <c r="A51" s="207" t="s">
        <v>130</v>
      </c>
      <c r="B51" s="208"/>
      <c r="C51" s="208"/>
      <c r="D51" s="208"/>
      <c r="E51" s="208"/>
      <c r="F51" s="208"/>
      <c r="G51" s="208"/>
      <c r="H51" s="208"/>
      <c r="I51" s="208"/>
      <c r="J51" s="208"/>
      <c r="K51" s="208"/>
      <c r="L51" s="209">
        <f>ROUND(SUM(L54:L55,L57:L58),3)</f>
        <v>135998.45600000001</v>
      </c>
      <c r="M51" s="209">
        <f>ROUND(B3,3)</f>
        <v>135998.45600000001</v>
      </c>
      <c r="N51" s="249"/>
    </row>
    <row r="52" spans="1:14" ht="20.25" customHeight="1">
      <c r="A52" s="210" t="s">
        <v>131</v>
      </c>
      <c r="B52" s="208"/>
      <c r="C52" s="208"/>
      <c r="D52" s="208"/>
      <c r="E52" s="208"/>
      <c r="F52" s="208"/>
      <c r="G52" s="208"/>
      <c r="H52" s="208"/>
      <c r="I52" s="208"/>
      <c r="J52" s="208"/>
      <c r="K52" s="208"/>
      <c r="L52" s="162"/>
      <c r="M52" s="211">
        <f>M53+M56</f>
        <v>1.0000000034352234</v>
      </c>
      <c r="N52" s="163"/>
    </row>
    <row r="53" spans="1:14" ht="20.25" customHeight="1">
      <c r="A53" s="212" t="s">
        <v>19</v>
      </c>
      <c r="B53" s="213">
        <v>1</v>
      </c>
      <c r="C53" s="214">
        <v>2</v>
      </c>
      <c r="D53" s="214">
        <v>3</v>
      </c>
      <c r="E53" s="214">
        <v>4</v>
      </c>
      <c r="F53" s="214">
        <v>5</v>
      </c>
      <c r="G53" s="214">
        <v>6</v>
      </c>
      <c r="H53" s="214">
        <v>7</v>
      </c>
      <c r="I53" s="214">
        <v>8</v>
      </c>
      <c r="J53" s="214">
        <v>9</v>
      </c>
      <c r="K53" s="215">
        <v>10</v>
      </c>
      <c r="L53" s="216">
        <f>L54+L55</f>
        <v>71571.057750770735</v>
      </c>
      <c r="M53" s="211">
        <f>L53/$M$51</f>
        <v>0.52626375222061883</v>
      </c>
      <c r="N53" s="217"/>
    </row>
    <row r="54" spans="1:14" ht="15" customHeight="1">
      <c r="A54" s="218" t="s">
        <v>64</v>
      </c>
      <c r="B54" s="219">
        <f>SUM([21]M01!B38,[21]M02!B38,[21]M03!B38,[21]M04!B38,[21]M05!B38,[21]M06!B38,[21]M07!B38,[21]M08!B38,[21]M09!B38,[21]M10!B38,[21]M11!B38,[21]M12!B38)</f>
        <v>2797.4630931355118</v>
      </c>
      <c r="C54" s="220">
        <f>SUM([21]M01!C38,[21]M02!C38,[21]M03!C38,[21]M04!C38,[21]M05!C38,[21]M06!C38,[21]M07!C38,[21]M08!C38,[21]M09!C38,[21]M10!C38,[21]M11!C38,[21]M12!C38)</f>
        <v>7658.0489445476287</v>
      </c>
      <c r="D54" s="220">
        <f>SUM([21]M01!D38,[21]M02!D38,[21]M03!D38,[21]M04!D38,[21]M05!D38,[21]M06!D38,[21]M07!D38,[21]M08!D38,[21]M09!D38,[21]M10!D38,[21]M11!D38,[21]M12!D38)</f>
        <v>3045.0152976088443</v>
      </c>
      <c r="E54" s="220">
        <f>SUM([21]M01!E38,[21]M02!E38,[21]M03!E38,[21]M04!E38,[21]M05!E38,[21]M06!E38,[21]M07!E38,[21]M08!E38,[21]M09!E38,[21]M10!E38,[21]M11!E38,[21]M12!E38)</f>
        <v>8430.7948959853038</v>
      </c>
      <c r="F54" s="220">
        <f>SUM([21]M01!F38,[21]M02!F38,[21]M03!F38,[21]M04!F38,[21]M05!F38,[21]M06!F38,[21]M07!F38,[21]M08!F38,[21]M09!F38,[21]M10!F38,[21]M11!F38,[21]M12!F38)</f>
        <v>2330.5141535166854</v>
      </c>
      <c r="G54" s="220">
        <f>SUM([21]M01!G38,[21]M02!G38,[21]M03!G38,[21]M04!G38,[21]M05!G38,[21]M06!G38,[21]M07!G38,[21]M08!G38,[21]M09!G38,[21]M10!G38,[21]M11!G38,[21]M12!G38)</f>
        <v>500.5144315031975</v>
      </c>
      <c r="H54" s="220">
        <f>SUM([21]M01!H38,[21]M02!H38,[21]M03!H38,[21]M04!H38,[21]M05!H38,[21]M06!H38,[21]M07!H38,[21]M08!H38,[21]M09!H38,[21]M10!H38,[21]M11!H38,[21]M12!H38)</f>
        <v>22.048636232079421</v>
      </c>
      <c r="I54" s="220">
        <f>SUM([21]M01!I38,[21]M02!I38,[21]M03!I38,[21]M04!I38,[21]M05!I38,[21]M06!I38,[21]M07!I38,[21]M08!I38,[21]M09!I38,[21]M10!I38,[21]M11!I38,[21]M12!I38)</f>
        <v>652.24596610168044</v>
      </c>
      <c r="J54" s="220">
        <f>SUM([21]M01!J38,[21]M02!J38,[21]M03!J38,[21]M04!J38,[21]M05!J38,[21]M06!J38,[21]M07!J38,[21]M08!J38,[21]M09!J38,[21]M10!J38,[21]M11!J38,[21]M12!J38)</f>
        <v>2009.1392482315073</v>
      </c>
      <c r="K54" s="221">
        <f>SUM([21]M01!K38,[21]M02!K38,[21]M03!K38,[21]M04!K38,[21]M05!K38,[21]M06!K38,[21]M07!K38,[21]M08!K38,[21]M09!K38,[21]M10!K38,[21]M11!K38,[21]M12!K38)</f>
        <v>6226.9043566367573</v>
      </c>
      <c r="L54" s="222">
        <f>SUM(B54:K54)</f>
        <v>33672.689023499195</v>
      </c>
      <c r="M54" s="223">
        <f>L54/(L55+L54)</f>
        <v>0.47047913055520801</v>
      </c>
      <c r="N54" s="224"/>
    </row>
    <row r="55" spans="1:14" ht="15" customHeight="1">
      <c r="A55" s="225" t="s">
        <v>121</v>
      </c>
      <c r="B55" s="226">
        <f>SUM([21]M01!B39,[21]M02!B39,[21]M03!B39,[21]M04!B39,[21]M05!B39,[21]M06!B39,[21]M07!B39,[21]M08!B39,[21]M09!B39,[21]M10!B39,[21]M11!B39,[21]M12!B39)</f>
        <v>4.7683132624226863</v>
      </c>
      <c r="C55" s="227">
        <f>SUM([21]M01!C39,[21]M02!C39,[21]M03!C39,[21]M04!C39,[21]M05!C39,[21]M06!C39,[21]M07!C39,[21]M08!C39,[21]M09!C39,[21]M10!C39,[21]M11!C39,[21]M12!C39)</f>
        <v>0</v>
      </c>
      <c r="D55" s="227">
        <f>SUM([21]M01!D39,[21]M02!D39,[21]M03!D39,[21]M04!D39,[21]M05!D39,[21]M06!D39,[21]M07!D39,[21]M08!D39,[21]M09!D39,[21]M10!D39,[21]M11!D39,[21]M12!D39)</f>
        <v>0</v>
      </c>
      <c r="E55" s="227">
        <f>SUM([21]M01!E39,[21]M02!E39,[21]M03!E39,[21]M04!E39,[21]M05!E39,[21]M06!E39,[21]M07!E39,[21]M08!E39,[21]M09!E39,[21]M10!E39,[21]M11!E39,[21]M12!E39)</f>
        <v>1298.0666085415037</v>
      </c>
      <c r="F55" s="227">
        <f>SUM([21]M01!F39,[21]M02!F39,[21]M03!F39,[21]M04!F39,[21]M05!F39,[21]M06!F39,[21]M07!F39,[21]M08!F39,[21]M09!F39,[21]M10!F39,[21]M11!F39,[21]M12!F39)</f>
        <v>2874.7277556102085</v>
      </c>
      <c r="G55" s="227">
        <f>SUM([21]M01!G39,[21]M02!G39,[21]M03!G39,[21]M04!G39,[21]M05!G39,[21]M06!G39,[21]M07!G39,[21]M08!G39,[21]M09!G39,[21]M10!G39,[21]M11!G39,[21]M12!G39)</f>
        <v>5399.9018700384086</v>
      </c>
      <c r="H55" s="227">
        <f>SUM([21]M01!H39,[21]M02!H39,[21]M03!H39,[21]M04!H39,[21]M05!H39,[21]M06!H39,[21]M07!H39,[21]M08!H39,[21]M09!H39,[21]M10!H39,[21]M11!H39,[21]M12!H39)</f>
        <v>22687.363998224224</v>
      </c>
      <c r="I55" s="227">
        <f>SUM([21]M01!I39,[21]M02!I39,[21]M03!I39,[21]M04!I39,[21]M05!I39,[21]M06!I39,[21]M07!I39,[21]M08!I39,[21]M09!I39,[21]M10!I39,[21]M11!I39,[21]M12!I39)</f>
        <v>0</v>
      </c>
      <c r="J55" s="227">
        <f>SUM([21]M01!J39,[21]M02!J39,[21]M03!J39,[21]M04!J39,[21]M05!J39,[21]M06!J39,[21]M07!J39,[21]M08!J39,[21]M09!J39,[21]M10!J39,[21]M11!J39,[21]M12!J39)</f>
        <v>5476.8877943344733</v>
      </c>
      <c r="K55" s="228">
        <f>SUM([21]M01!K39,[21]M02!K39,[21]M03!K39,[21]M04!K39,[21]M05!K39,[21]M06!K39,[21]M07!K39,[21]M08!K39,[21]M09!K39,[21]M10!K39,[21]M11!K39,[21]M12!K39)</f>
        <v>156.65238726029136</v>
      </c>
      <c r="L55" s="229">
        <f>SUM(B55:K55)</f>
        <v>37898.368727271532</v>
      </c>
      <c r="M55" s="230">
        <f>L55/(L54+L55)</f>
        <v>0.52952086944479193</v>
      </c>
      <c r="N55" s="105"/>
    </row>
    <row r="56" spans="1:14" ht="20.25" customHeight="1">
      <c r="A56" s="210" t="s">
        <v>132</v>
      </c>
      <c r="B56" s="208"/>
      <c r="C56" s="208"/>
      <c r="D56" s="208"/>
      <c r="E56" s="208"/>
      <c r="F56" s="208"/>
      <c r="G56" s="208"/>
      <c r="H56" s="208"/>
      <c r="I56" s="208"/>
      <c r="J56" s="208"/>
      <c r="K56" s="208"/>
      <c r="L56" s="216">
        <f>L57+L58</f>
        <v>64427.398716414362</v>
      </c>
      <c r="M56" s="211">
        <f>L56/$M$51</f>
        <v>0.47373625121460466</v>
      </c>
      <c r="N56" s="217"/>
    </row>
    <row r="57" spans="1:14" ht="15" customHeight="1">
      <c r="A57" s="218" t="s">
        <v>64</v>
      </c>
      <c r="B57" s="219">
        <f>SUM([21]M01!B41,[21]M02!B41,[21]M03!B41,[21]M04!B41,[21]M05!B41,[21]M06!B41,[21]M07!B41,[21]M08!B41,[21]M09!B41,[21]M10!B41,[21]M11!B41,[21]M12!B41)</f>
        <v>2475.2238340164936</v>
      </c>
      <c r="C57" s="220">
        <f>SUM([21]M01!C41,[21]M02!C41,[21]M03!C41,[21]M04!C41,[21]M05!C41,[21]M06!C41,[21]M07!C41,[21]M08!C41,[21]M09!C41,[21]M10!C41,[21]M11!C41,[21]M12!C41)</f>
        <v>3557.3044812143789</v>
      </c>
      <c r="D57" s="220">
        <f>SUM([21]M01!D41,[21]M02!D41,[21]M03!D41,[21]M04!D41,[21]M05!D41,[21]M06!D41,[21]M07!D41,[21]M08!D41,[21]M09!D41,[21]M10!D41,[21]M11!D41,[21]M12!D41)</f>
        <v>1258.4037399108879</v>
      </c>
      <c r="E57" s="220">
        <f>SUM([21]M01!E41,[21]M02!E41,[21]M03!E41,[21]M04!E41,[21]M05!E41,[21]M06!E41,[21]M07!E41,[21]M08!E41,[21]M09!E41,[21]M10!E41,[21]M11!E41,[21]M12!E41)</f>
        <v>3384.5910925697344</v>
      </c>
      <c r="F57" s="220">
        <f>SUM([21]M01!F41,[21]M02!F41,[21]M03!F41,[21]M04!F41,[21]M05!F41,[21]M06!F41,[21]M07!F41,[21]M08!F41,[21]M09!F41,[21]M10!F41,[21]M11!F41,[21]M12!F41)</f>
        <v>4618.9748721977703</v>
      </c>
      <c r="G57" s="220">
        <f>SUM([21]M01!G41,[21]M02!G41,[21]M03!G41,[21]M04!G41,[21]M05!G41,[21]M06!G41,[21]M07!G41,[21]M08!G41,[21]M09!G41,[21]M10!G41,[21]M11!G41,[21]M12!G41)</f>
        <v>1763.7969208126451</v>
      </c>
      <c r="H57" s="220">
        <f>SUM([21]M01!H41,[21]M02!H41,[21]M03!H41,[21]M04!H41,[21]M05!H41,[21]M06!H41,[21]M07!H41,[21]M08!H41,[21]M09!H41,[21]M10!H41,[21]M11!H41,[21]M12!H41)</f>
        <v>994.3637837122219</v>
      </c>
      <c r="I57" s="220">
        <f>SUM([21]M01!I41,[21]M02!I41,[21]M03!I41,[21]M04!I41,[21]M05!I41,[21]M06!I41,[21]M07!I41,[21]M08!I41,[21]M09!I41,[21]M10!I41,[21]M11!I41,[21]M12!I41)</f>
        <v>1685.6781309767102</v>
      </c>
      <c r="J57" s="220">
        <f>SUM([21]M01!J41,[21]M02!J41,[21]M03!J41,[21]M04!J41,[21]M05!J41,[21]M06!J41,[21]M07!J41,[21]M08!J41,[21]M09!J41,[21]M10!J41,[21]M11!J41,[21]M12!J41)</f>
        <v>8922.7481836796051</v>
      </c>
      <c r="K57" s="221">
        <f>SUM([21]M01!K41,[21]M02!K41,[21]M03!K41,[21]M04!K41,[21]M05!K41,[21]M06!K41,[21]M07!K41,[21]M08!K41,[21]M09!K41,[21]M10!K41,[21]M11!K41,[21]M12!K41)</f>
        <v>1650.6614929419136</v>
      </c>
      <c r="L57" s="222">
        <f>SUM(B57:K57)</f>
        <v>30311.746532032357</v>
      </c>
      <c r="M57" s="223">
        <f>L57/(L58+L57)</f>
        <v>0.47047913055520807</v>
      </c>
      <c r="N57" s="224"/>
    </row>
    <row r="58" spans="1:14" ht="15" customHeight="1">
      <c r="A58" s="225" t="s">
        <v>121</v>
      </c>
      <c r="B58" s="226">
        <f>SUM([21]M01!B42,[21]M02!B42,[21]M03!B42,[21]M04!B42,[21]M05!B42,[21]M06!B42,[21]M07!B42,[21]M08!B42,[21]M09!B42,[21]M10!B42,[21]M11!B42,[21]M12!B42)</f>
        <v>425.08679333465193</v>
      </c>
      <c r="C58" s="227">
        <f>SUM([21]M01!C42,[21]M02!C42,[21]M03!C42,[21]M04!C42,[21]M05!C42,[21]M06!C42,[21]M07!C42,[21]M08!C42,[21]M09!C42,[21]M10!C42,[21]M11!C42,[21]M12!C42)</f>
        <v>0</v>
      </c>
      <c r="D58" s="227">
        <f>SUM([21]M01!D42,[21]M02!D42,[21]M03!D42,[21]M04!D42,[21]M05!D42,[21]M06!D42,[21]M07!D42,[21]M08!D42,[21]M09!D42,[21]M10!D42,[21]M11!D42,[21]M12!D42)</f>
        <v>1.5480953132916029</v>
      </c>
      <c r="E58" s="227">
        <f>SUM([21]M01!E42,[21]M02!E42,[21]M03!E42,[21]M04!E42,[21]M05!E42,[21]M06!E42,[21]M07!E42,[21]M08!E42,[21]M09!E42,[21]M10!E42,[21]M11!E42,[21]M12!E42)</f>
        <v>2418.2513956022185</v>
      </c>
      <c r="F58" s="227">
        <f>SUM([21]M01!F42,[21]M02!F42,[21]M03!F42,[21]M04!F42,[21]M05!F42,[21]M06!F42,[21]M07!F42,[21]M08!F42,[21]M09!F42,[21]M10!F42,[21]M11!F42,[21]M12!F42)</f>
        <v>4323.1084757160115</v>
      </c>
      <c r="G58" s="227">
        <f>SUM([21]M01!G42,[21]M02!G42,[21]M03!G42,[21]M04!G42,[21]M05!G42,[21]M06!G42,[21]M07!G42,[21]M08!G42,[21]M09!G42,[21]M10!G42,[21]M11!G42,[21]M12!G42)</f>
        <v>4418.2465324218347</v>
      </c>
      <c r="H58" s="227">
        <f>SUM([21]M01!H42,[21]M02!H42,[21]M03!H42,[21]M04!H42,[21]M05!H42,[21]M06!H42,[21]M07!H42,[21]M08!H42,[21]M09!H42,[21]M10!H42,[21]M11!H42,[21]M12!H42)</f>
        <v>19092.395454387832</v>
      </c>
      <c r="I58" s="227">
        <f>SUM([21]M01!I42,[21]M02!I42,[21]M03!I42,[21]M04!I42,[21]M05!I42,[21]M06!I42,[21]M07!I42,[21]M08!I42,[21]M09!I42,[21]M10!I42,[21]M11!I42,[21]M12!I42)</f>
        <v>30.100273146115491</v>
      </c>
      <c r="J58" s="227">
        <f>SUM([21]M01!J42,[21]M02!J42,[21]M03!J42,[21]M04!J42,[21]M05!J42,[21]M06!J42,[21]M07!J42,[21]M08!J42,[21]M09!J42,[21]M10!J42,[21]M11!J42,[21]M12!J42)</f>
        <v>2445.9973681333463</v>
      </c>
      <c r="K58" s="228">
        <f>SUM([21]M01!K42,[21]M02!K42,[21]M03!K42,[21]M04!K42,[21]M05!K42,[21]M06!K42,[21]M07!K42,[21]M08!K42,[21]M09!K42,[21]M10!K42,[21]M11!K42,[21]M12!K42)</f>
        <v>960.91779632670853</v>
      </c>
      <c r="L58" s="229">
        <f>SUM(B58:K58)</f>
        <v>34115.652184382008</v>
      </c>
      <c r="M58" s="230">
        <f>L58/(L57+L58)</f>
        <v>0.52952086944479204</v>
      </c>
      <c r="N58" s="163"/>
    </row>
    <row r="59" spans="1:14" ht="20.25" customHeight="1">
      <c r="A59" s="210" t="s">
        <v>133</v>
      </c>
      <c r="B59" s="208"/>
      <c r="C59" s="208"/>
      <c r="D59" s="208"/>
      <c r="E59" s="208"/>
      <c r="F59" s="208"/>
      <c r="G59" s="208"/>
      <c r="H59" s="208"/>
      <c r="I59" s="208"/>
      <c r="J59" s="208"/>
      <c r="K59" s="208"/>
      <c r="L59" s="216">
        <f>L60+L61</f>
        <v>0</v>
      </c>
      <c r="M59" s="211">
        <f>IFERROR(L59/B7,0)</f>
        <v>0</v>
      </c>
      <c r="N59" s="163"/>
    </row>
    <row r="60" spans="1:14" ht="15" customHeight="1">
      <c r="A60" s="218" t="s">
        <v>134</v>
      </c>
      <c r="B60" s="219">
        <f>SUM([21]M01!B44,[21]M02!B44,[21]M03!B44,[21]M04!B44,[21]M05!B44,[21]M06!B44,[21]M07!B44,[21]M08!B44,[21]M09!B44,[21]M10!B44,[21]M11!B44,[21]M12!B44)</f>
        <v>0</v>
      </c>
      <c r="C60" s="220">
        <f>SUM([21]M01!C44,[21]M02!C44,[21]M03!C44,[21]M04!C44,[21]M05!C44,[21]M06!C44,[21]M07!C44,[21]M08!C44,[21]M09!C44,[21]M10!C44,[21]M11!C44,[21]M12!C44)</f>
        <v>0</v>
      </c>
      <c r="D60" s="220">
        <f>SUM([21]M01!D44,[21]M02!D44,[21]M03!D44,[21]M04!D44,[21]M05!D44,[21]M06!D44,[21]M07!D44,[21]M08!D44,[21]M09!D44,[21]M10!D44,[21]M11!D44,[21]M12!D44)</f>
        <v>0</v>
      </c>
      <c r="E60" s="220">
        <f>SUM([21]M01!E44,[21]M02!E44,[21]M03!E44,[21]M04!E44,[21]M05!E44,[21]M06!E44,[21]M07!E44,[21]M08!E44,[21]M09!E44,[21]M10!E44,[21]M11!E44,[21]M12!E44)</f>
        <v>0</v>
      </c>
      <c r="F60" s="220">
        <f>SUM([21]M01!F44,[21]M02!F44,[21]M03!F44,[21]M04!F44,[21]M05!F44,[21]M06!F44,[21]M07!F44,[21]M08!F44,[21]M09!F44,[21]M10!F44,[21]M11!F44,[21]M12!F44)</f>
        <v>0</v>
      </c>
      <c r="G60" s="220">
        <f>SUM([21]M01!G44,[21]M02!G44,[21]M03!G44,[21]M04!G44,[21]M05!G44,[21]M06!G44,[21]M07!G44,[21]M08!G44,[21]M09!G44,[21]M10!G44,[21]M11!G44,[21]M12!G44)</f>
        <v>0</v>
      </c>
      <c r="H60" s="220">
        <f>SUM([21]M01!H44,[21]M02!H44,[21]M03!H44,[21]M04!H44,[21]M05!H44,[21]M06!H44,[21]M07!H44,[21]M08!H44,[21]M09!H44,[21]M10!H44,[21]M11!H44,[21]M12!H44)</f>
        <v>0</v>
      </c>
      <c r="I60" s="220">
        <f>SUM([21]M01!I44,[21]M02!I44,[21]M03!I44,[21]M04!I44,[21]M05!I44,[21]M06!I44,[21]M07!I44,[21]M08!I44,[21]M09!I44,[21]M10!I44,[21]M11!I44,[21]M12!I44)</f>
        <v>0</v>
      </c>
      <c r="J60" s="220">
        <f>SUM([21]M01!J44,[21]M02!J44,[21]M03!J44,[21]M04!J44,[21]M05!J44,[21]M06!J44,[21]M07!J44,[21]M08!J44,[21]M09!J44,[21]M10!J44,[21]M11!J44,[21]M12!J44)</f>
        <v>0</v>
      </c>
      <c r="K60" s="221">
        <f>SUM([21]M01!K44,[21]M02!K44,[21]M03!K44,[21]M04!K44,[21]M05!K44,[21]M06!K44,[21]M07!K44,[21]M08!K44,[21]M09!K44,[21]M10!K44,[21]M11!K44,[21]M12!K44)</f>
        <v>0</v>
      </c>
      <c r="L60" s="222">
        <f>SUM(B60:K60)</f>
        <v>0</v>
      </c>
      <c r="M60" s="223" t="e">
        <f>L60/(L61+L60)</f>
        <v>#DIV/0!</v>
      </c>
      <c r="N60" s="163"/>
    </row>
    <row r="61" spans="1:14" ht="15" customHeight="1">
      <c r="A61" s="225" t="s">
        <v>135</v>
      </c>
      <c r="B61" s="226">
        <f>SUM([21]M01!B45,[21]M02!B45,[21]M03!B45,[21]M04!B45,[21]M05!B45,[21]M06!B45,[21]M07!B45,[21]M08!B45,[21]M09!B45,[21]M10!B45,[21]M11!B45,[21]M12!B45)</f>
        <v>0</v>
      </c>
      <c r="C61" s="227">
        <f>SUM([21]M01!C45,[21]M02!C45,[21]M03!C45,[21]M04!C45,[21]M05!C45,[21]M06!C45,[21]M07!C45,[21]M08!C45,[21]M09!C45,[21]M10!C45,[21]M11!C45,[21]M12!C45)</f>
        <v>0</v>
      </c>
      <c r="D61" s="227">
        <f>SUM([21]M01!D45,[21]M02!D45,[21]M03!D45,[21]M04!D45,[21]M05!D45,[21]M06!D45,[21]M07!D45,[21]M08!D45,[21]M09!D45,[21]M10!D45,[21]M11!D45,[21]M12!D45)</f>
        <v>0</v>
      </c>
      <c r="E61" s="227">
        <f>SUM([21]M01!E45,[21]M02!E45,[21]M03!E45,[21]M04!E45,[21]M05!E45,[21]M06!E45,[21]M07!E45,[21]M08!E45,[21]M09!E45,[21]M10!E45,[21]M11!E45,[21]M12!E45)</f>
        <v>0</v>
      </c>
      <c r="F61" s="227">
        <f>SUM([21]M01!F45,[21]M02!F45,[21]M03!F45,[21]M04!F45,[21]M05!F45,[21]M06!F45,[21]M07!F45,[21]M08!F45,[21]M09!F45,[21]M10!F45,[21]M11!F45,[21]M12!F45)</f>
        <v>0</v>
      </c>
      <c r="G61" s="227">
        <f>SUM([21]M01!G45,[21]M02!G45,[21]M03!G45,[21]M04!G45,[21]M05!G45,[21]M06!G45,[21]M07!G45,[21]M08!G45,[21]M09!G45,[21]M10!G45,[21]M11!G45,[21]M12!G45)</f>
        <v>0</v>
      </c>
      <c r="H61" s="227">
        <f>SUM([21]M01!H45,[21]M02!H45,[21]M03!H45,[21]M04!H45,[21]M05!H45,[21]M06!H45,[21]M07!H45,[21]M08!H45,[21]M09!H45,[21]M10!H45,[21]M11!H45,[21]M12!H45)</f>
        <v>0</v>
      </c>
      <c r="I61" s="227">
        <f>SUM([21]M01!I45,[21]M02!I45,[21]M03!I45,[21]M04!I45,[21]M05!I45,[21]M06!I45,[21]M07!I45,[21]M08!I45,[21]M09!I45,[21]M10!I45,[21]M11!I45,[21]M12!I45)</f>
        <v>0</v>
      </c>
      <c r="J61" s="227">
        <f>SUM([21]M01!J45,[21]M02!J45,[21]M03!J45,[21]M04!J45,[21]M05!J45,[21]M06!J45,[21]M07!J45,[21]M08!J45,[21]M09!J45,[21]M10!J45,[21]M11!J45,[21]M12!J45)</f>
        <v>0</v>
      </c>
      <c r="K61" s="228">
        <f>SUM([21]M01!K45,[21]M02!K45,[21]M03!K45,[21]M04!K45,[21]M05!K45,[21]M06!K45,[21]M07!K45,[21]M08!K45,[21]M09!K45,[21]M10!K45,[21]M11!K45,[21]M12!K45)</f>
        <v>0</v>
      </c>
      <c r="L61" s="229">
        <f>SUM(B61:K61)</f>
        <v>0</v>
      </c>
      <c r="M61" s="230" t="e">
        <f>L61/(L60+L61)</f>
        <v>#DIV/0!</v>
      </c>
      <c r="N61" s="163"/>
    </row>
    <row r="62" spans="1:14" ht="20.25" hidden="1" customHeight="1">
      <c r="A62" s="210" t="s">
        <v>136</v>
      </c>
      <c r="B62" s="231"/>
      <c r="C62" s="231"/>
      <c r="D62" s="231"/>
      <c r="E62" s="231"/>
      <c r="F62" s="231"/>
      <c r="G62" s="232">
        <f>SUM([21]M01!G46,[21]M02!G46,[21]M03!G46,[21]M04!G46,[21]M05!G46,[21]M06!G46,[21]M07!G46,[21]M08!G46,[21]M09!G46,[21]M10!G46,[21]M11!G46,[21]M12!G46)</f>
        <v>0</v>
      </c>
      <c r="H62" s="233">
        <f>G62/L51</f>
        <v>0</v>
      </c>
      <c r="I62" s="231"/>
      <c r="J62" s="231"/>
      <c r="K62" s="231"/>
      <c r="L62" s="209"/>
      <c r="N62" s="163"/>
    </row>
    <row r="63" spans="1:14" ht="15" customHeight="1">
      <c r="A63" s="231"/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09"/>
      <c r="N63" s="163"/>
    </row>
    <row r="64" spans="1:14" ht="20.25" customHeight="1">
      <c r="A64" s="234" t="s">
        <v>137</v>
      </c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216">
        <f>L65+L66</f>
        <v>135998.45646718508</v>
      </c>
      <c r="M64" s="236">
        <f>L64/(B3+B7)</f>
        <v>0.99999999999999978</v>
      </c>
      <c r="N64" s="237"/>
    </row>
    <row r="65" spans="1:14" ht="15" customHeight="1">
      <c r="A65" s="238" t="s">
        <v>64</v>
      </c>
      <c r="B65" s="239">
        <f>B54+B57</f>
        <v>5272.6869271520054</v>
      </c>
      <c r="C65" s="240">
        <f t="shared" ref="C65:K65" si="2">C54+C57</f>
        <v>11215.353425762009</v>
      </c>
      <c r="D65" s="240">
        <f t="shared" si="2"/>
        <v>4303.4190375197322</v>
      </c>
      <c r="E65" s="240">
        <f t="shared" si="2"/>
        <v>11815.385988555037</v>
      </c>
      <c r="F65" s="240">
        <f t="shared" si="2"/>
        <v>6949.4890257144561</v>
      </c>
      <c r="G65" s="240">
        <f t="shared" si="2"/>
        <v>2264.3113523158427</v>
      </c>
      <c r="H65" s="240">
        <f t="shared" si="2"/>
        <v>1016.4124199443013</v>
      </c>
      <c r="I65" s="240">
        <f t="shared" si="2"/>
        <v>2337.9240970783908</v>
      </c>
      <c r="J65" s="240">
        <f t="shared" si="2"/>
        <v>10931.887431911113</v>
      </c>
      <c r="K65" s="241">
        <f t="shared" si="2"/>
        <v>7877.5658495786711</v>
      </c>
      <c r="L65" s="222">
        <f>SUM(B65:K65)</f>
        <v>63984.435555531563</v>
      </c>
      <c r="M65" s="223">
        <f>L65/(L66+L65)</f>
        <v>0.47047913055520818</v>
      </c>
      <c r="N65" s="237"/>
    </row>
    <row r="66" spans="1:14" ht="15" customHeight="1">
      <c r="A66" s="242" t="s">
        <v>121</v>
      </c>
      <c r="B66" s="243">
        <f>B55+B58+B60+B61</f>
        <v>429.85510659707461</v>
      </c>
      <c r="C66" s="244">
        <f t="shared" ref="C66:K66" si="3">C55+C58+C60+C61</f>
        <v>0</v>
      </c>
      <c r="D66" s="244">
        <f t="shared" si="3"/>
        <v>1.5480953132916029</v>
      </c>
      <c r="E66" s="244">
        <f t="shared" si="3"/>
        <v>3716.3180041437222</v>
      </c>
      <c r="F66" s="244">
        <f t="shared" si="3"/>
        <v>7197.8362313262205</v>
      </c>
      <c r="G66" s="244">
        <f t="shared" si="3"/>
        <v>9818.1484024602432</v>
      </c>
      <c r="H66" s="244">
        <f t="shared" si="3"/>
        <v>41779.759452612052</v>
      </c>
      <c r="I66" s="244">
        <f t="shared" si="3"/>
        <v>30.100273146115491</v>
      </c>
      <c r="J66" s="244">
        <f t="shared" si="3"/>
        <v>7922.8851624678191</v>
      </c>
      <c r="K66" s="245">
        <f t="shared" si="3"/>
        <v>1117.570183587</v>
      </c>
      <c r="L66" s="229">
        <f>SUM(B66:K66)</f>
        <v>72014.020911653526</v>
      </c>
      <c r="M66" s="230">
        <f>L66/(L65+L66)</f>
        <v>0.52952086944479193</v>
      </c>
      <c r="N66" s="237"/>
    </row>
    <row r="67" spans="1:14" ht="15" customHeight="1">
      <c r="B67" s="233">
        <f>B65/$L$64</f>
        <v>3.8770196839875502E-2</v>
      </c>
      <c r="C67" s="233">
        <f t="shared" ref="C67:K67" si="4">C65/$L$64</f>
        <v>8.2466769970055864E-2</v>
      </c>
      <c r="D67" s="233">
        <f t="shared" si="4"/>
        <v>3.1643146174663385E-2</v>
      </c>
      <c r="E67" s="233">
        <f t="shared" si="4"/>
        <v>8.6878824182875625E-2</v>
      </c>
      <c r="F67" s="233">
        <f t="shared" si="4"/>
        <v>5.1099763969683659E-2</v>
      </c>
      <c r="G67" s="233">
        <f t="shared" si="4"/>
        <v>1.6649537142814527E-2</v>
      </c>
      <c r="H67" s="233">
        <f t="shared" si="4"/>
        <v>7.473705557750579E-3</v>
      </c>
      <c r="I67" s="233">
        <f t="shared" si="4"/>
        <v>1.7190813468110983E-2</v>
      </c>
      <c r="J67" s="233">
        <f t="shared" si="4"/>
        <v>8.0382437535596998E-2</v>
      </c>
      <c r="K67" s="233">
        <f t="shared" si="4"/>
        <v>5.7923935713780988E-2</v>
      </c>
      <c r="N67" s="163"/>
    </row>
    <row r="68" spans="1:14" ht="15" customHeight="1">
      <c r="B68" s="233">
        <f t="shared" ref="B68:K68" si="5">B66/$L$64</f>
        <v>3.1607351859967167E-3</v>
      </c>
      <c r="C68" s="233">
        <f t="shared" si="5"/>
        <v>0</v>
      </c>
      <c r="D68" s="233">
        <f t="shared" si="5"/>
        <v>1.1383182967706262E-5</v>
      </c>
      <c r="E68" s="233">
        <f t="shared" si="5"/>
        <v>2.7326177816146234E-2</v>
      </c>
      <c r="F68" s="233">
        <f t="shared" si="5"/>
        <v>5.2925867089256111E-2</v>
      </c>
      <c r="G68" s="233">
        <f t="shared" si="5"/>
        <v>7.2193087021022576E-2</v>
      </c>
      <c r="H68" s="233">
        <f t="shared" si="5"/>
        <v>0.30720760027664756</v>
      </c>
      <c r="I68" s="233">
        <f t="shared" si="5"/>
        <v>2.2132804980311193E-4</v>
      </c>
      <c r="J68" s="233">
        <f t="shared" si="5"/>
        <v>5.8257169737654511E-2</v>
      </c>
      <c r="K68" s="233">
        <f t="shared" si="5"/>
        <v>8.2175210852974447E-3</v>
      </c>
      <c r="N68" s="163"/>
    </row>
    <row r="69" spans="1:14" ht="15" customHeight="1">
      <c r="B69" s="246"/>
      <c r="C69" s="246"/>
      <c r="D69" s="246"/>
      <c r="E69" s="246"/>
      <c r="F69" s="246"/>
      <c r="G69" s="246"/>
      <c r="H69" s="246"/>
      <c r="I69" s="246"/>
      <c r="J69" s="246"/>
      <c r="K69" s="246"/>
      <c r="L69" s="247"/>
      <c r="M69" s="248"/>
    </row>
    <row r="70" spans="1:14" ht="15" customHeight="1">
      <c r="B70" s="246"/>
      <c r="C70" s="246"/>
      <c r="D70" s="246"/>
      <c r="E70" s="246"/>
      <c r="F70" s="246"/>
      <c r="G70" s="246"/>
      <c r="H70" s="246"/>
      <c r="I70" s="246"/>
      <c r="J70" s="246"/>
      <c r="K70" s="246"/>
    </row>
    <row r="71" spans="1:14" ht="15" customHeight="1"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7"/>
    </row>
    <row r="72" spans="1:14" ht="15" customHeight="1">
      <c r="B72" s="161"/>
      <c r="D72" s="161"/>
      <c r="E72" s="246"/>
      <c r="F72" s="246"/>
      <c r="G72" s="246"/>
      <c r="H72" s="246"/>
      <c r="I72" s="246"/>
      <c r="J72" s="246"/>
      <c r="K72" s="246"/>
      <c r="L72" s="247"/>
    </row>
  </sheetData>
  <conditionalFormatting sqref="B29:K30">
    <cfRule type="cellIs" dxfId="51" priority="16" operator="equal">
      <formula>0</formula>
    </cfRule>
  </conditionalFormatting>
  <conditionalFormatting sqref="B44:K45">
    <cfRule type="cellIs" dxfId="50" priority="1" operator="equal">
      <formula>0</formula>
    </cfRule>
  </conditionalFormatting>
  <conditionalFormatting sqref="B19:L20 B38:K38">
    <cfRule type="cellIs" dxfId="49" priority="18" operator="equal">
      <formula>0</formula>
    </cfRule>
  </conditionalFormatting>
  <conditionalFormatting sqref="B22:L23">
    <cfRule type="cellIs" dxfId="48" priority="11" operator="equal">
      <formula>0</formula>
    </cfRule>
  </conditionalFormatting>
  <conditionalFormatting sqref="B25:L27">
    <cfRule type="cellIs" dxfId="47" priority="14" operator="equal">
      <formula>0</formula>
    </cfRule>
  </conditionalFormatting>
  <conditionalFormatting sqref="B54:L55">
    <cfRule type="cellIs" dxfId="46" priority="7" operator="equal">
      <formula>0</formula>
    </cfRule>
  </conditionalFormatting>
  <conditionalFormatting sqref="B57:L58">
    <cfRule type="cellIs" dxfId="45" priority="6" operator="equal">
      <formula>0</formula>
    </cfRule>
  </conditionalFormatting>
  <conditionalFormatting sqref="B60:L61">
    <cfRule type="cellIs" dxfId="44" priority="5" operator="equal">
      <formula>0</formula>
    </cfRule>
  </conditionalFormatting>
  <conditionalFormatting sqref="B65:L66">
    <cfRule type="cellIs" dxfId="43" priority="3" operator="equal">
      <formula>0</formula>
    </cfRule>
  </conditionalFormatting>
  <conditionalFormatting sqref="L51">
    <cfRule type="cellIs" dxfId="42" priority="2" stopIfTrue="1" operator="notEqual">
      <formula>$M$51</formula>
    </cfRule>
  </conditionalFormatting>
  <conditionalFormatting sqref="M51">
    <cfRule type="cellIs" dxfId="41" priority="8" stopIfTrue="1" operator="notEqual">
      <formula>$L$51</formula>
    </cfRule>
  </conditionalFormatting>
  <conditionalFormatting sqref="N12:N13">
    <cfRule type="cellIs" dxfId="40" priority="10" stopIfTrue="1" operator="notEqual">
      <formula>8760</formula>
    </cfRule>
  </conditionalFormatting>
  <conditionalFormatting sqref="N14">
    <cfRule type="cellIs" dxfId="39" priority="9" stopIfTrue="1" operator="notEqual">
      <formula>1</formula>
    </cfRule>
  </conditionalFormatting>
  <printOptions horizontalCentered="1"/>
  <pageMargins left="0.39370078740157483" right="0.39370078740157483" top="0.98425196850393704" bottom="0.39370078740157483" header="0.59055118110236227" footer="0.31496062992125984"/>
  <pageSetup paperSize="9" scale="76" orientation="portrait" r:id="rId1"/>
  <headerFooter>
    <oddHeader>&amp;C&amp;Z&amp;F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B31BA-D7B1-43E3-A754-7354A3498B07}">
  <sheetPr>
    <pageSetUpPr fitToPage="1"/>
  </sheetPr>
  <dimension ref="A1:N72"/>
  <sheetViews>
    <sheetView topLeftCell="A15" zoomScale="85" zoomScaleNormal="85" workbookViewId="0">
      <selection activeCell="B29" sqref="B29"/>
    </sheetView>
  </sheetViews>
  <sheetFormatPr baseColWidth="10" defaultColWidth="10.7109375" defaultRowHeight="15" customHeight="1"/>
  <cols>
    <col min="1" max="1" width="12.7109375" style="94" customWidth="1"/>
    <col min="2" max="256" width="10.7109375" style="94"/>
    <col min="257" max="257" width="12.7109375" style="94" customWidth="1"/>
    <col min="258" max="512" width="10.7109375" style="94"/>
    <col min="513" max="513" width="12.7109375" style="94" customWidth="1"/>
    <col min="514" max="768" width="10.7109375" style="94"/>
    <col min="769" max="769" width="12.7109375" style="94" customWidth="1"/>
    <col min="770" max="1024" width="10.7109375" style="94"/>
    <col min="1025" max="1025" width="12.7109375" style="94" customWidth="1"/>
    <col min="1026" max="1280" width="10.7109375" style="94"/>
    <col min="1281" max="1281" width="12.7109375" style="94" customWidth="1"/>
    <col min="1282" max="1536" width="10.7109375" style="94"/>
    <col min="1537" max="1537" width="12.7109375" style="94" customWidth="1"/>
    <col min="1538" max="1792" width="10.7109375" style="94"/>
    <col min="1793" max="1793" width="12.7109375" style="94" customWidth="1"/>
    <col min="1794" max="2048" width="10.7109375" style="94"/>
    <col min="2049" max="2049" width="12.7109375" style="94" customWidth="1"/>
    <col min="2050" max="2304" width="10.7109375" style="94"/>
    <col min="2305" max="2305" width="12.7109375" style="94" customWidth="1"/>
    <col min="2306" max="2560" width="10.7109375" style="94"/>
    <col min="2561" max="2561" width="12.7109375" style="94" customWidth="1"/>
    <col min="2562" max="2816" width="10.7109375" style="94"/>
    <col min="2817" max="2817" width="12.7109375" style="94" customWidth="1"/>
    <col min="2818" max="3072" width="10.7109375" style="94"/>
    <col min="3073" max="3073" width="12.7109375" style="94" customWidth="1"/>
    <col min="3074" max="3328" width="10.7109375" style="94"/>
    <col min="3329" max="3329" width="12.7109375" style="94" customWidth="1"/>
    <col min="3330" max="3584" width="10.7109375" style="94"/>
    <col min="3585" max="3585" width="12.7109375" style="94" customWidth="1"/>
    <col min="3586" max="3840" width="10.7109375" style="94"/>
    <col min="3841" max="3841" width="12.7109375" style="94" customWidth="1"/>
    <col min="3842" max="4096" width="10.7109375" style="94"/>
    <col min="4097" max="4097" width="12.7109375" style="94" customWidth="1"/>
    <col min="4098" max="4352" width="10.7109375" style="94"/>
    <col min="4353" max="4353" width="12.7109375" style="94" customWidth="1"/>
    <col min="4354" max="4608" width="10.7109375" style="94"/>
    <col min="4609" max="4609" width="12.7109375" style="94" customWidth="1"/>
    <col min="4610" max="4864" width="10.7109375" style="94"/>
    <col min="4865" max="4865" width="12.7109375" style="94" customWidth="1"/>
    <col min="4866" max="5120" width="10.7109375" style="94"/>
    <col min="5121" max="5121" width="12.7109375" style="94" customWidth="1"/>
    <col min="5122" max="5376" width="10.7109375" style="94"/>
    <col min="5377" max="5377" width="12.7109375" style="94" customWidth="1"/>
    <col min="5378" max="5632" width="10.7109375" style="94"/>
    <col min="5633" max="5633" width="12.7109375" style="94" customWidth="1"/>
    <col min="5634" max="5888" width="10.7109375" style="94"/>
    <col min="5889" max="5889" width="12.7109375" style="94" customWidth="1"/>
    <col min="5890" max="6144" width="10.7109375" style="94"/>
    <col min="6145" max="6145" width="12.7109375" style="94" customWidth="1"/>
    <col min="6146" max="6400" width="10.7109375" style="94"/>
    <col min="6401" max="6401" width="12.7109375" style="94" customWidth="1"/>
    <col min="6402" max="6656" width="10.7109375" style="94"/>
    <col min="6657" max="6657" width="12.7109375" style="94" customWidth="1"/>
    <col min="6658" max="6912" width="10.7109375" style="94"/>
    <col min="6913" max="6913" width="12.7109375" style="94" customWidth="1"/>
    <col min="6914" max="7168" width="10.7109375" style="94"/>
    <col min="7169" max="7169" width="12.7109375" style="94" customWidth="1"/>
    <col min="7170" max="7424" width="10.7109375" style="94"/>
    <col min="7425" max="7425" width="12.7109375" style="94" customWidth="1"/>
    <col min="7426" max="7680" width="10.7109375" style="94"/>
    <col min="7681" max="7681" width="12.7109375" style="94" customWidth="1"/>
    <col min="7682" max="7936" width="10.7109375" style="94"/>
    <col min="7937" max="7937" width="12.7109375" style="94" customWidth="1"/>
    <col min="7938" max="8192" width="10.7109375" style="94"/>
    <col min="8193" max="8193" width="12.7109375" style="94" customWidth="1"/>
    <col min="8194" max="8448" width="10.7109375" style="94"/>
    <col min="8449" max="8449" width="12.7109375" style="94" customWidth="1"/>
    <col min="8450" max="8704" width="10.7109375" style="94"/>
    <col min="8705" max="8705" width="12.7109375" style="94" customWidth="1"/>
    <col min="8706" max="8960" width="10.7109375" style="94"/>
    <col min="8961" max="8961" width="12.7109375" style="94" customWidth="1"/>
    <col min="8962" max="9216" width="10.7109375" style="94"/>
    <col min="9217" max="9217" width="12.7109375" style="94" customWidth="1"/>
    <col min="9218" max="9472" width="10.7109375" style="94"/>
    <col min="9473" max="9473" width="12.7109375" style="94" customWidth="1"/>
    <col min="9474" max="9728" width="10.7109375" style="94"/>
    <col min="9729" max="9729" width="12.7109375" style="94" customWidth="1"/>
    <col min="9730" max="9984" width="10.7109375" style="94"/>
    <col min="9985" max="9985" width="12.7109375" style="94" customWidth="1"/>
    <col min="9986" max="10240" width="10.7109375" style="94"/>
    <col min="10241" max="10241" width="12.7109375" style="94" customWidth="1"/>
    <col min="10242" max="10496" width="10.7109375" style="94"/>
    <col min="10497" max="10497" width="12.7109375" style="94" customWidth="1"/>
    <col min="10498" max="10752" width="10.7109375" style="94"/>
    <col min="10753" max="10753" width="12.7109375" style="94" customWidth="1"/>
    <col min="10754" max="11008" width="10.7109375" style="94"/>
    <col min="11009" max="11009" width="12.7109375" style="94" customWidth="1"/>
    <col min="11010" max="11264" width="10.7109375" style="94"/>
    <col min="11265" max="11265" width="12.7109375" style="94" customWidth="1"/>
    <col min="11266" max="11520" width="10.7109375" style="94"/>
    <col min="11521" max="11521" width="12.7109375" style="94" customWidth="1"/>
    <col min="11522" max="11776" width="10.7109375" style="94"/>
    <col min="11777" max="11777" width="12.7109375" style="94" customWidth="1"/>
    <col min="11778" max="12032" width="10.7109375" style="94"/>
    <col min="12033" max="12033" width="12.7109375" style="94" customWidth="1"/>
    <col min="12034" max="12288" width="10.7109375" style="94"/>
    <col min="12289" max="12289" width="12.7109375" style="94" customWidth="1"/>
    <col min="12290" max="12544" width="10.7109375" style="94"/>
    <col min="12545" max="12545" width="12.7109375" style="94" customWidth="1"/>
    <col min="12546" max="12800" width="10.7109375" style="94"/>
    <col min="12801" max="12801" width="12.7109375" style="94" customWidth="1"/>
    <col min="12802" max="13056" width="10.7109375" style="94"/>
    <col min="13057" max="13057" width="12.7109375" style="94" customWidth="1"/>
    <col min="13058" max="13312" width="10.7109375" style="94"/>
    <col min="13313" max="13313" width="12.7109375" style="94" customWidth="1"/>
    <col min="13314" max="13568" width="10.7109375" style="94"/>
    <col min="13569" max="13569" width="12.7109375" style="94" customWidth="1"/>
    <col min="13570" max="13824" width="10.7109375" style="94"/>
    <col min="13825" max="13825" width="12.7109375" style="94" customWidth="1"/>
    <col min="13826" max="14080" width="10.7109375" style="94"/>
    <col min="14081" max="14081" width="12.7109375" style="94" customWidth="1"/>
    <col min="14082" max="14336" width="10.7109375" style="94"/>
    <col min="14337" max="14337" width="12.7109375" style="94" customWidth="1"/>
    <col min="14338" max="14592" width="10.7109375" style="94"/>
    <col min="14593" max="14593" width="12.7109375" style="94" customWidth="1"/>
    <col min="14594" max="14848" width="10.7109375" style="94"/>
    <col min="14849" max="14849" width="12.7109375" style="94" customWidth="1"/>
    <col min="14850" max="15104" width="10.7109375" style="94"/>
    <col min="15105" max="15105" width="12.7109375" style="94" customWidth="1"/>
    <col min="15106" max="15360" width="10.7109375" style="94"/>
    <col min="15361" max="15361" width="12.7109375" style="94" customWidth="1"/>
    <col min="15362" max="15616" width="10.7109375" style="94"/>
    <col min="15617" max="15617" width="12.7109375" style="94" customWidth="1"/>
    <col min="15618" max="15872" width="10.7109375" style="94"/>
    <col min="15873" max="15873" width="12.7109375" style="94" customWidth="1"/>
    <col min="15874" max="16128" width="10.7109375" style="94"/>
    <col min="16129" max="16129" width="12.7109375" style="94" customWidth="1"/>
    <col min="16130" max="16384" width="10.7109375" style="94"/>
  </cols>
  <sheetData>
    <row r="1" spans="1:14" ht="22.15" customHeight="1">
      <c r="A1" s="92" t="s">
        <v>0</v>
      </c>
      <c r="B1" s="93">
        <f>[18]Input!B1</f>
        <v>2</v>
      </c>
      <c r="C1" s="93" t="str">
        <f>[18]Input!C1</f>
        <v>2026-2027</v>
      </c>
    </row>
    <row r="2" spans="1:14" ht="15" customHeight="1">
      <c r="A2" s="95"/>
      <c r="B2" s="96" t="s">
        <v>2</v>
      </c>
      <c r="C2" s="97"/>
      <c r="D2" s="96" t="s">
        <v>3</v>
      </c>
      <c r="E2" s="98"/>
      <c r="F2" s="99" t="s">
        <v>69</v>
      </c>
    </row>
    <row r="3" spans="1:14" ht="15" customHeight="1">
      <c r="A3" s="100" t="s">
        <v>5</v>
      </c>
      <c r="B3" s="101">
        <f>[18]Input!B3</f>
        <v>132548.9018272885</v>
      </c>
      <c r="C3" s="102">
        <f>C4+C5</f>
        <v>1</v>
      </c>
      <c r="D3" s="103">
        <f>[18]Input!D3</f>
        <v>3473.2899999999995</v>
      </c>
      <c r="E3" s="102">
        <f>E4+E5</f>
        <v>1</v>
      </c>
      <c r="F3" s="104" t="s">
        <v>6</v>
      </c>
      <c r="H3" s="105" t="s">
        <v>9</v>
      </c>
      <c r="I3" s="106">
        <v>0.7</v>
      </c>
      <c r="J3" s="107">
        <f>I3*B3</f>
        <v>92784.23127910195</v>
      </c>
      <c r="K3" s="108" t="s">
        <v>8</v>
      </c>
      <c r="L3" s="109">
        <f>L54+L57</f>
        <v>62431.998467566918</v>
      </c>
      <c r="M3" s="110">
        <f>L3/(L4+L3)</f>
        <v>0.47101105785793018</v>
      </c>
    </row>
    <row r="4" spans="1:14" ht="15" customHeight="1">
      <c r="A4" s="111" t="s">
        <v>10</v>
      </c>
      <c r="B4" s="112">
        <f>[18]Input!B4</f>
        <v>113362.44744859995</v>
      </c>
      <c r="C4" s="113">
        <f>B4/B3</f>
        <v>0.85524999366883825</v>
      </c>
      <c r="D4" s="114">
        <f>[18]Input!D4</f>
        <v>3198.5299999999993</v>
      </c>
      <c r="E4" s="113">
        <f>D4/D3</f>
        <v>0.92089344684722552</v>
      </c>
      <c r="F4" s="115">
        <f>[18]Input!F4</f>
        <v>35.442046017576814</v>
      </c>
      <c r="H4" s="105" t="s">
        <v>11</v>
      </c>
      <c r="I4" s="106">
        <v>0.3</v>
      </c>
      <c r="J4" s="107">
        <f>I4*B3</f>
        <v>39764.67054818655</v>
      </c>
      <c r="K4" s="108" t="s">
        <v>8</v>
      </c>
      <c r="L4" s="109">
        <f>L55+L58</f>
        <v>70116.90335969787</v>
      </c>
      <c r="M4" s="110">
        <f>L4/(L3+L4)</f>
        <v>0.52898894214206993</v>
      </c>
    </row>
    <row r="5" spans="1:14" ht="15" customHeight="1">
      <c r="A5" s="116" t="s">
        <v>12</v>
      </c>
      <c r="B5" s="117">
        <f>[18]Input!B5</f>
        <v>19186.454378688548</v>
      </c>
      <c r="C5" s="118">
        <f>B5/B3</f>
        <v>0.14475000633116175</v>
      </c>
      <c r="D5" s="119">
        <f>[18]Input!D5</f>
        <v>274.76000000000005</v>
      </c>
      <c r="E5" s="118">
        <f>D5/D3</f>
        <v>7.9106553152774484E-2</v>
      </c>
      <c r="F5" s="120">
        <f>[18]Input!F5</f>
        <v>69.829867443181485</v>
      </c>
    </row>
    <row r="6" spans="1:14" ht="15" customHeight="1">
      <c r="B6" s="121"/>
    </row>
    <row r="7" spans="1:14" ht="15" customHeight="1">
      <c r="A7" s="92" t="s">
        <v>70</v>
      </c>
      <c r="B7" s="101">
        <f>[18]Input!B7</f>
        <v>0</v>
      </c>
      <c r="C7" s="102">
        <f>[18]Input!C7</f>
        <v>1</v>
      </c>
      <c r="D7" s="103">
        <f>[18]Input!D7</f>
        <v>0</v>
      </c>
      <c r="E7" s="102">
        <f>[18]Input!E7</f>
        <v>1</v>
      </c>
      <c r="F7" s="122">
        <f>[18]Input!F7</f>
        <v>0</v>
      </c>
      <c r="G7" s="94" t="str">
        <f>[18]Input!G7</f>
        <v>(230 kV)</v>
      </c>
    </row>
    <row r="9" spans="1:14" ht="15" customHeight="1">
      <c r="A9" s="123" t="s">
        <v>71</v>
      </c>
      <c r="B9" s="124" t="s">
        <v>72</v>
      </c>
      <c r="C9" s="125" t="s">
        <v>73</v>
      </c>
      <c r="D9" s="125" t="s">
        <v>74</v>
      </c>
      <c r="E9" s="125" t="s">
        <v>75</v>
      </c>
      <c r="F9" s="125" t="s">
        <v>76</v>
      </c>
      <c r="G9" s="125" t="s">
        <v>77</v>
      </c>
      <c r="H9" s="126" t="s">
        <v>78</v>
      </c>
      <c r="I9" s="126" t="s">
        <v>79</v>
      </c>
      <c r="J9" s="126" t="s">
        <v>80</v>
      </c>
      <c r="K9" s="126" t="s">
        <v>81</v>
      </c>
      <c r="L9" s="126" t="s">
        <v>82</v>
      </c>
      <c r="M9" s="127" t="s">
        <v>83</v>
      </c>
    </row>
    <row r="10" spans="1:14" ht="15" customHeight="1">
      <c r="A10" s="128"/>
      <c r="B10" s="129" t="s">
        <v>84</v>
      </c>
      <c r="C10" s="130" t="s">
        <v>85</v>
      </c>
      <c r="D10" s="130" t="s">
        <v>86</v>
      </c>
      <c r="E10" s="130" t="s">
        <v>87</v>
      </c>
      <c r="F10" s="130" t="s">
        <v>88</v>
      </c>
      <c r="G10" s="130" t="s">
        <v>89</v>
      </c>
      <c r="H10" s="130" t="s">
        <v>90</v>
      </c>
      <c r="I10" s="130" t="s">
        <v>91</v>
      </c>
      <c r="J10" s="130" t="s">
        <v>92</v>
      </c>
      <c r="K10" s="130" t="s">
        <v>93</v>
      </c>
      <c r="L10" s="130" t="s">
        <v>94</v>
      </c>
      <c r="M10" s="131" t="s">
        <v>95</v>
      </c>
    </row>
    <row r="11" spans="1:14" ht="15" customHeight="1">
      <c r="A11" s="123" t="s">
        <v>96</v>
      </c>
      <c r="B11" s="124" t="s">
        <v>97</v>
      </c>
      <c r="C11" s="125" t="s">
        <v>97</v>
      </c>
      <c r="D11" s="125" t="s">
        <v>97</v>
      </c>
      <c r="E11" s="125" t="s">
        <v>97</v>
      </c>
      <c r="F11" s="125" t="s">
        <v>97</v>
      </c>
      <c r="G11" s="125" t="s">
        <v>97</v>
      </c>
      <c r="H11" s="126" t="s">
        <v>98</v>
      </c>
      <c r="I11" s="126" t="s">
        <v>98</v>
      </c>
      <c r="J11" s="126" t="s">
        <v>98</v>
      </c>
      <c r="K11" s="126" t="s">
        <v>98</v>
      </c>
      <c r="L11" s="126" t="s">
        <v>98</v>
      </c>
      <c r="M11" s="127" t="s">
        <v>97</v>
      </c>
    </row>
    <row r="12" spans="1:14" ht="15" customHeight="1">
      <c r="A12" s="132">
        <f>SUM(B12:M12)</f>
        <v>8760</v>
      </c>
      <c r="B12" s="133">
        <f>24*31</f>
        <v>744</v>
      </c>
      <c r="C12" s="134">
        <f>24*31</f>
        <v>744</v>
      </c>
      <c r="D12" s="134">
        <f>24*30</f>
        <v>720</v>
      </c>
      <c r="E12" s="134">
        <f>24*31</f>
        <v>744</v>
      </c>
      <c r="F12" s="134">
        <f>24*30</f>
        <v>720</v>
      </c>
      <c r="G12" s="134">
        <f>24*31</f>
        <v>744</v>
      </c>
      <c r="H12" s="134">
        <f>24*31</f>
        <v>744</v>
      </c>
      <c r="I12" s="134">
        <f>24*28</f>
        <v>672</v>
      </c>
      <c r="J12" s="134">
        <f>24*31</f>
        <v>744</v>
      </c>
      <c r="K12" s="134">
        <f>24*30</f>
        <v>720</v>
      </c>
      <c r="L12" s="134">
        <f>24*31</f>
        <v>744</v>
      </c>
      <c r="M12" s="135">
        <f>24*30</f>
        <v>720</v>
      </c>
      <c r="N12" s="136">
        <f>SUM(B12:M12)</f>
        <v>8760</v>
      </c>
    </row>
    <row r="13" spans="1:14" ht="15" customHeight="1">
      <c r="A13" s="137" t="s">
        <v>99</v>
      </c>
      <c r="B13" s="111">
        <f>[22]M01!$H$13</f>
        <v>744</v>
      </c>
      <c r="C13" s="94">
        <f>[22]M02!$H$13</f>
        <v>744</v>
      </c>
      <c r="D13" s="94">
        <f>[22]M03!$H$13</f>
        <v>720</v>
      </c>
      <c r="E13" s="94">
        <f>[22]M04!$H$13</f>
        <v>744</v>
      </c>
      <c r="F13" s="94">
        <f>[22]M05!$H$13</f>
        <v>720</v>
      </c>
      <c r="G13" s="94">
        <f>[22]M06!$H$13</f>
        <v>744</v>
      </c>
      <c r="H13" s="94">
        <f>[22]M07!$H$13</f>
        <v>744</v>
      </c>
      <c r="I13" s="94">
        <f>[22]M08!$H$13</f>
        <v>672</v>
      </c>
      <c r="J13" s="94">
        <f>[22]M09!$H$13</f>
        <v>744</v>
      </c>
      <c r="K13" s="94">
        <f>[22]M10!$H$13</f>
        <v>720</v>
      </c>
      <c r="L13" s="94">
        <f>[22]M11!$H$13</f>
        <v>744</v>
      </c>
      <c r="M13" s="138">
        <f>[22]M12!$H$13</f>
        <v>720</v>
      </c>
      <c r="N13" s="336">
        <f>SUM(B13:M13)</f>
        <v>8760</v>
      </c>
    </row>
    <row r="14" spans="1:14" ht="15" customHeight="1">
      <c r="A14" s="128" t="s">
        <v>100</v>
      </c>
      <c r="B14" s="139">
        <f>[22]M01!$I$13</f>
        <v>8.4931506849315067E-2</v>
      </c>
      <c r="C14" s="140">
        <f>[22]M02!$I$13</f>
        <v>8.493150684931508E-2</v>
      </c>
      <c r="D14" s="140">
        <f>[22]M03!$I$13</f>
        <v>8.2191780821917804E-2</v>
      </c>
      <c r="E14" s="140">
        <f>[22]M04!$I$13</f>
        <v>8.4931506849315067E-2</v>
      </c>
      <c r="F14" s="140">
        <f>[22]M05!$I$13</f>
        <v>8.2191780821917818E-2</v>
      </c>
      <c r="G14" s="140">
        <f>[22]M06!$I$13</f>
        <v>8.4931506849315039E-2</v>
      </c>
      <c r="H14" s="140">
        <f>[22]M07!$I$13</f>
        <v>8.4931506849315067E-2</v>
      </c>
      <c r="I14" s="140">
        <f>[22]M08!$I$13</f>
        <v>7.6712328767123306E-2</v>
      </c>
      <c r="J14" s="140">
        <f>[22]M09!$I$13</f>
        <v>8.493150684931508E-2</v>
      </c>
      <c r="K14" s="140">
        <f>[22]M10!$I$13</f>
        <v>8.2191780821917804E-2</v>
      </c>
      <c r="L14" s="140">
        <f>[22]M11!$I$13</f>
        <v>8.4931506849315067E-2</v>
      </c>
      <c r="M14" s="141">
        <f>[22]M12!$I$13</f>
        <v>8.2191780821917804E-2</v>
      </c>
      <c r="N14" s="142">
        <f>SUM(B14:M14)</f>
        <v>0.99999999999999989</v>
      </c>
    </row>
    <row r="16" spans="1:14" ht="20.25" customHeight="1">
      <c r="A16" s="143" t="s">
        <v>25</v>
      </c>
      <c r="B16" s="144">
        <v>1</v>
      </c>
      <c r="C16" s="144">
        <v>2</v>
      </c>
      <c r="D16" s="144">
        <v>3</v>
      </c>
      <c r="E16" s="144">
        <v>4</v>
      </c>
      <c r="F16" s="144">
        <v>5</v>
      </c>
      <c r="G16" s="144">
        <v>6</v>
      </c>
      <c r="H16" s="144">
        <v>7</v>
      </c>
      <c r="I16" s="144">
        <v>8</v>
      </c>
      <c r="J16" s="144">
        <v>9</v>
      </c>
      <c r="K16" s="145">
        <v>10</v>
      </c>
      <c r="L16" s="146" t="s">
        <v>20</v>
      </c>
    </row>
    <row r="17" spans="1:14" ht="25.15" customHeight="1">
      <c r="A17" s="147" t="s">
        <v>101</v>
      </c>
      <c r="B17" s="148" t="s">
        <v>102</v>
      </c>
      <c r="C17" s="148" t="s">
        <v>103</v>
      </c>
      <c r="D17" s="148" t="s">
        <v>104</v>
      </c>
      <c r="E17" s="148" t="s">
        <v>105</v>
      </c>
      <c r="F17" s="148" t="s">
        <v>106</v>
      </c>
      <c r="G17" s="148" t="s">
        <v>107</v>
      </c>
      <c r="H17" s="148" t="s">
        <v>108</v>
      </c>
      <c r="I17" s="148" t="s">
        <v>109</v>
      </c>
      <c r="J17" s="148" t="s">
        <v>110</v>
      </c>
      <c r="K17" s="149" t="s">
        <v>111</v>
      </c>
      <c r="L17" s="150"/>
    </row>
    <row r="18" spans="1:14" ht="20.25" customHeight="1">
      <c r="A18" s="151" t="s">
        <v>112</v>
      </c>
      <c r="L18" s="152"/>
    </row>
    <row r="19" spans="1:14" ht="15" customHeight="1">
      <c r="A19" s="123" t="s">
        <v>113</v>
      </c>
      <c r="B19" s="153">
        <f>[18]Input!B11</f>
        <v>381.78000000000003</v>
      </c>
      <c r="C19" s="154">
        <f>[18]Input!C11</f>
        <v>548.68000000000006</v>
      </c>
      <c r="D19" s="154">
        <f>[18]Input!D11</f>
        <v>194.10000000000005</v>
      </c>
      <c r="E19" s="154">
        <f>[18]Input!E11</f>
        <v>764.84999999999968</v>
      </c>
      <c r="F19" s="154">
        <f>[18]Input!F11</f>
        <v>806.46999999999991</v>
      </c>
      <c r="G19" s="154">
        <f>[18]Input!G11</f>
        <v>281.45999999999998</v>
      </c>
      <c r="H19" s="154">
        <f>[18]Input!H11</f>
        <v>153.13999999999999</v>
      </c>
      <c r="I19" s="154">
        <f>[18]Input!I11</f>
        <v>260</v>
      </c>
      <c r="J19" s="154">
        <f>[18]Input!J11</f>
        <v>1376.25</v>
      </c>
      <c r="K19" s="155">
        <f>[18]Input!K11</f>
        <v>254.8</v>
      </c>
      <c r="L19" s="156">
        <f>SUM(B19:K19)</f>
        <v>5021.53</v>
      </c>
    </row>
    <row r="20" spans="1:14" ht="15" customHeight="1">
      <c r="A20" s="128" t="s">
        <v>22</v>
      </c>
      <c r="B20" s="157">
        <f>[18]Input!B12</f>
        <v>26.509999999999998</v>
      </c>
      <c r="C20" s="158">
        <f>[18]Input!C12</f>
        <v>0</v>
      </c>
      <c r="D20" s="158">
        <f>[18]Input!D12</f>
        <v>0.09</v>
      </c>
      <c r="E20" s="158">
        <f>[18]Input!E12</f>
        <v>140.5</v>
      </c>
      <c r="F20" s="158">
        <f>[18]Input!F12</f>
        <v>224.51253899660921</v>
      </c>
      <c r="G20" s="158">
        <f>[18]Input!G12</f>
        <v>279.06400000000002</v>
      </c>
      <c r="H20" s="158">
        <f>[18]Input!H12</f>
        <v>1044.2144864999998</v>
      </c>
      <c r="I20" s="158">
        <f>[18]Input!I12</f>
        <v>1.6</v>
      </c>
      <c r="J20" s="158">
        <f>[18]Input!J12</f>
        <v>150.142</v>
      </c>
      <c r="K20" s="159">
        <f>[18]Input!K12</f>
        <v>55.33</v>
      </c>
      <c r="L20" s="160">
        <f>SUM(B20:K20)</f>
        <v>1921.9630254966089</v>
      </c>
    </row>
    <row r="21" spans="1:14" ht="20.25" customHeight="1">
      <c r="A21" s="151" t="s">
        <v>114</v>
      </c>
      <c r="L21" s="152"/>
    </row>
    <row r="22" spans="1:14" ht="15" customHeight="1">
      <c r="A22" s="123" t="s">
        <v>115</v>
      </c>
      <c r="B22" s="153">
        <f>SUM([22]M01!B21*$B$14,[22]M02!B21*$C$14,[22]M03!B21*$D$14,[22]M04!B21*$E$14,[22]M05!B21*$F$14,[22]M06!B21*$G$14,[22]M07!B21*$H$14,[22]M08!B21*$I$14,[22]M09!B21*$J$14,[22]M10!B21*$K$14,[22]M11!B21*$L$14,[22]M12!B21*$M$14)/$N$14</f>
        <v>199.72255707762559</v>
      </c>
      <c r="C22" s="154">
        <f>SUM([22]M01!C21*$B$14,[22]M02!C21*$C$14,[22]M03!C21*$D$14,[22]M04!C21*$E$14,[22]M05!C21*$F$14,[22]M06!C21*$G$14,[22]M07!C21*$H$14,[22]M08!C21*$I$14,[22]M09!C21*$J$14,[22]M10!C21*$K$14,[22]M11!C21*$L$14,[22]M12!C21*$M$14)/$N$14</f>
        <v>300.58561643835623</v>
      </c>
      <c r="D22" s="154">
        <f>SUM([22]M01!D21*$B$14,[22]M02!D21*$C$14,[22]M03!D21*$D$14,[22]M04!D21*$E$14,[22]M05!D21*$F$14,[22]M06!D21*$G$14,[22]M07!D21*$H$14,[22]M08!D21*$I$14,[22]M09!D21*$J$14,[22]M10!D21*$K$14,[22]M11!D21*$L$14,[22]M12!D21*$M$14)/$N$14</f>
        <v>135.11244292237447</v>
      </c>
      <c r="E22" s="154">
        <f>SUM([22]M01!E21*$B$14,[22]M02!E21*$C$14,[22]M03!E21*$D$14,[22]M04!E21*$E$14,[22]M05!E21*$F$14,[22]M06!E21*$G$14,[22]M07!E21*$H$14,[22]M08!E21*$I$14,[22]M09!E21*$J$14,[22]M10!E21*$K$14,[22]M11!E21*$L$14,[22]M12!E21*$M$14)/$N$14</f>
        <v>405.40908105022839</v>
      </c>
      <c r="F22" s="154">
        <f>SUM([22]M01!F21*$B$14,[22]M02!F21*$C$14,[22]M03!F21*$D$14,[22]M04!F21*$E$14,[22]M05!F21*$F$14,[22]M06!F21*$G$14,[22]M07!F21*$H$14,[22]M08!F21*$I$14,[22]M09!F21*$J$14,[22]M10!F21*$K$14,[22]M11!F21*$L$14,[22]M12!F21*$M$14)/$N$14</f>
        <v>87.538727168949777</v>
      </c>
      <c r="G22" s="154">
        <f>SUM([22]M01!G21*$B$14,[22]M02!G21*$C$14,[22]M03!G21*$D$14,[22]M04!G21*$E$14,[22]M05!G21*$F$14,[22]M06!G21*$G$14,[22]M07!G21*$H$14,[22]M08!G21*$I$14,[22]M09!G21*$J$14,[22]M10!G21*$K$14,[22]M11!G21*$L$14,[22]M12!G21*$M$14)/$N$14</f>
        <v>36.995753424657543</v>
      </c>
      <c r="H22" s="154">
        <f>SUM([22]M01!H21*$B$14,[22]M02!H21*$C$14,[22]M03!H21*$D$14,[22]M04!H21*$E$14,[22]M05!H21*$F$14,[22]M06!H21*$G$14,[22]M07!H21*$H$14,[22]M08!H21*$I$14,[22]M09!H21*$J$14,[22]M10!H21*$K$14,[22]M11!H21*$L$14,[22]M12!H21*$M$14)/$N$14</f>
        <v>0</v>
      </c>
      <c r="I22" s="154">
        <f>SUM([22]M01!I21*$B$14,[22]M02!I21*$C$14,[22]M03!I21*$D$14,[22]M04!I21*$E$14,[22]M05!I21*$F$14,[22]M06!I21*$G$14,[22]M07!I21*$H$14,[22]M08!I21*$I$14,[22]M09!I21*$J$14,[22]M10!I21*$K$14,[22]M11!I21*$L$14,[22]M12!I21*$M$14)/$N$14</f>
        <v>56.797716894977171</v>
      </c>
      <c r="J22" s="154">
        <f>SUM([22]M01!J21*$B$14,[22]M02!J21*$C$14,[22]M03!J21*$D$14,[22]M04!J21*$E$14,[22]M05!J21*$F$14,[22]M06!J21*$G$14,[22]M07!J21*$H$14,[22]M08!J21*$I$14,[22]M09!J21*$J$14,[22]M10!J21*$K$14,[22]M11!J21*$L$14,[22]M12!J21*$M$14)/$N$14</f>
        <v>37.713196347031968</v>
      </c>
      <c r="K22" s="155">
        <f>SUM([22]M01!K21*$B$14,[22]M02!K21*$C$14,[22]M03!K21*$D$14,[22]M04!K21*$E$14,[22]M05!K21*$F$14,[22]M06!K21*$G$14,[22]M07!K21*$H$14,[22]M08!K21*$I$14,[22]M09!K21*$J$14,[22]M10!K21*$K$14,[22]M11!K21*$L$14,[22]M12!K21*$M$14)/$N$14</f>
        <v>185.8361301369863</v>
      </c>
      <c r="L22" s="156">
        <f>SUM(B22:K22)</f>
        <v>1445.7112214611875</v>
      </c>
    </row>
    <row r="23" spans="1:14" ht="15" customHeight="1">
      <c r="A23" s="128" t="s">
        <v>116</v>
      </c>
      <c r="B23" s="157">
        <f>SUM([22]M01!B22*$B$14,[22]M02!B22*$C$14,[22]M03!B22*$D$14,[22]M04!B22*$E$14,[22]M05!B22*$F$14,[22]M06!B22*$G$14,[22]M07!B22*$H$14,[22]M08!B22*$I$14,[22]M09!B22*$J$14,[22]M10!B22*$K$14,[22]M11!B22*$L$14,[22]M12!B22*$M$14)/$N$14</f>
        <v>29.334206621004565</v>
      </c>
      <c r="C23" s="158">
        <f>SUM([22]M01!C22*$B$14,[22]M02!C22*$C$14,[22]M03!C22*$D$14,[22]M04!C22*$E$14,[22]M05!C22*$F$14,[22]M06!C22*$G$14,[22]M07!C22*$H$14,[22]M08!C22*$I$14,[22]M09!C22*$J$14,[22]M10!C22*$K$14,[22]M11!C22*$L$14,[22]M12!C22*$M$14)/$N$14</f>
        <v>0</v>
      </c>
      <c r="D23" s="158">
        <f>SUM([22]M01!D22*$B$14,[22]M02!D22*$C$14,[22]M03!D22*$D$14,[22]M04!D22*$E$14,[22]M05!D22*$F$14,[22]M06!D22*$G$14,[22]M07!D22*$H$14,[22]M08!D22*$I$14,[22]M09!D22*$J$14,[22]M10!D22*$K$14,[22]M11!D22*$L$14,[22]M12!D22*$M$14)/$N$14</f>
        <v>0</v>
      </c>
      <c r="E23" s="158">
        <f>SUM([22]M01!E22*$B$14,[22]M02!E22*$C$14,[22]M03!E22*$D$14,[22]M04!E22*$E$14,[22]M05!E22*$F$14,[22]M06!E22*$G$14,[22]M07!E22*$H$14,[22]M08!E22*$I$14,[22]M09!E22*$J$14,[22]M10!E22*$K$14,[22]M11!E22*$L$14,[22]M12!E22*$M$14)/$N$14</f>
        <v>75.79540525114156</v>
      </c>
      <c r="F23" s="158">
        <f>SUM([22]M01!F22*$B$14,[22]M02!F22*$C$14,[22]M03!F22*$D$14,[22]M04!F22*$E$14,[22]M05!F22*$F$14,[22]M06!F22*$G$14,[22]M07!F22*$H$14,[22]M08!F22*$I$14,[22]M09!F22*$J$14,[22]M10!F22*$K$14,[22]M11!F22*$L$14,[22]M12!F22*$M$14)/$N$14</f>
        <v>77.651198630137003</v>
      </c>
      <c r="G23" s="158">
        <f>SUM([22]M01!G22*$B$14,[22]M02!G22*$C$14,[22]M03!G22*$D$14,[22]M04!G22*$E$14,[22]M05!G22*$F$14,[22]M06!G22*$G$14,[22]M07!G22*$H$14,[22]M08!G22*$I$14,[22]M09!G22*$J$14,[22]M10!G22*$K$14,[22]M11!G22*$L$14,[22]M12!G22*$M$14)/$N$14</f>
        <v>162.33167808219181</v>
      </c>
      <c r="H23" s="158">
        <f>SUM([22]M01!H22*$B$14,[22]M02!H22*$C$14,[22]M03!H22*$D$14,[22]M04!H22*$E$14,[22]M05!H22*$F$14,[22]M06!H22*$G$14,[22]M07!H22*$H$14,[22]M08!H22*$I$14,[22]M09!H22*$J$14,[22]M10!H22*$K$14,[22]M11!H22*$L$14,[22]M12!H22*$M$14)/$N$14</f>
        <v>965.07695205479456</v>
      </c>
      <c r="I23" s="158">
        <f>SUM([22]M01!I22*$B$14,[22]M02!I22*$C$14,[22]M03!I22*$D$14,[22]M04!I22*$E$14,[22]M05!I22*$F$14,[22]M06!I22*$G$14,[22]M07!I22*$H$14,[22]M08!I22*$I$14,[22]M09!I22*$J$14,[22]M10!I22*$K$14,[22]M11!I22*$L$14,[22]M12!I22*$M$14)/$N$14</f>
        <v>0</v>
      </c>
      <c r="J23" s="158">
        <f>SUM([22]M01!J22*$B$14,[22]M02!J22*$C$14,[22]M03!J22*$D$14,[22]M04!J22*$E$14,[22]M05!J22*$F$14,[22]M06!J22*$G$14,[22]M07!J22*$H$14,[22]M08!J22*$I$14,[22]M09!J22*$J$14,[22]M10!J22*$K$14,[22]M11!J22*$L$14,[22]M12!J22*$M$14)/$N$14</f>
        <v>129.82216324200917</v>
      </c>
      <c r="K23" s="159">
        <f>SUM([22]M01!K22*$B$14,[22]M02!K22*$C$14,[22]M03!K22*$D$14,[22]M04!K22*$E$14,[22]M05!K22*$F$14,[22]M06!K22*$G$14,[22]M07!K22*$H$14,[22]M08!K22*$I$14,[22]M09!K22*$J$14,[22]M10!K22*$K$14,[22]M11!K22*$L$14,[22]M12!K22*$M$14)/$N$14</f>
        <v>5.8805251141552528</v>
      </c>
      <c r="L23" s="160">
        <f>SUM(B23:K23)</f>
        <v>1445.8921289954337</v>
      </c>
    </row>
    <row r="24" spans="1:14" ht="20.25" customHeight="1">
      <c r="A24" s="151" t="s">
        <v>117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152"/>
    </row>
    <row r="25" spans="1:14" ht="15" customHeight="1">
      <c r="A25" s="123" t="s">
        <v>118</v>
      </c>
      <c r="B25" s="153">
        <f>SUM([22]M01!B24,[22]M02!B24,[22]M03!B24,[22]M04!B24,[22]M05!B24,[22]M06!B24,[22]M07!B24,[22]M08!B24,[22]M09!B24,[22]M10!B24,[22]M11!B24,[22]M12!B24)</f>
        <v>1749.5695999999998</v>
      </c>
      <c r="C25" s="154">
        <f>SUM([22]M01!C24,[22]M02!C24,[22]M03!C24,[22]M04!C24,[22]M05!C24,[22]M06!C24,[22]M07!C24,[22]M08!C24,[22]M09!C24,[22]M10!C24,[22]M11!C24,[22]M12!C24)</f>
        <v>2633.13</v>
      </c>
      <c r="D25" s="154">
        <f>SUM([22]M01!D24,[22]M02!D24,[22]M03!D24,[22]M04!D24,[22]M05!D24,[22]M06!D24,[22]M07!D24,[22]M08!D24,[22]M09!D24,[22]M10!D24,[22]M11!D24,[22]M12!D24)</f>
        <v>1183.585</v>
      </c>
      <c r="E25" s="154">
        <f>SUM([22]M01!E24,[22]M02!E24,[22]M03!E24,[22]M04!E24,[22]M05!E24,[22]M06!E24,[22]M07!E24,[22]M08!E24,[22]M09!E24,[22]M10!E24,[22]M11!E24,[22]M12!E24)</f>
        <v>3551.3835499999996</v>
      </c>
      <c r="F25" s="154">
        <f>SUM([22]M01!F24,[22]M02!F24,[22]M03!F24,[22]M04!F24,[22]M05!F24,[22]M06!F24,[22]M07!F24,[22]M08!F24,[22]M09!F24,[22]M10!F24,[22]M11!F24,[22]M12!F24)</f>
        <v>766.83924999999977</v>
      </c>
      <c r="G25" s="154">
        <f>SUM([22]M01!G24,[22]M02!G24,[22]M03!G24,[22]M04!G24,[22]M05!G24,[22]M06!G24,[22]M07!G24,[22]M08!G24,[22]M09!G24,[22]M10!G24,[22]M11!G24,[22]M12!G24)</f>
        <v>324.08280000000002</v>
      </c>
      <c r="H25" s="154">
        <f>SUM([22]M01!H24,[22]M02!H24,[22]M03!H24,[22]M04!H24,[22]M05!H24,[22]M06!H24,[22]M07!H24,[22]M08!H24,[22]M09!H24,[22]M10!H24,[22]M11!H24,[22]M12!H24)</f>
        <v>0</v>
      </c>
      <c r="I25" s="154">
        <f>SUM([22]M01!I24,[22]M02!I24,[22]M03!I24,[22]M04!I24,[22]M05!I24,[22]M06!I24,[22]M07!I24,[22]M08!I24,[22]M09!I24,[22]M10!I24,[22]M11!I24,[22]M12!I24)</f>
        <v>497.54800000000006</v>
      </c>
      <c r="J25" s="154">
        <f>SUM([22]M01!J24,[22]M02!J24,[22]M03!J24,[22]M04!J24,[22]M05!J24,[22]M06!J24,[22]M07!J24,[22]M08!J24,[22]M09!J24,[22]M10!J24,[22]M11!J24,[22]M12!J24)</f>
        <v>330.36760000000004</v>
      </c>
      <c r="K25" s="155">
        <f>SUM([22]M01!K24,[22]M02!K24,[22]M03!K24,[22]M04!K24,[22]M05!K24,[22]M06!K24,[22]M07!K24,[22]M08!K24,[22]M09!K24,[22]M10!K24,[22]M11!K24,[22]M12!K24)</f>
        <v>1627.9244999999996</v>
      </c>
      <c r="L25" s="156">
        <f>SUM(B25:K25)</f>
        <v>12664.430299999998</v>
      </c>
    </row>
    <row r="26" spans="1:14" ht="15" customHeight="1">
      <c r="A26" s="128" t="s">
        <v>119</v>
      </c>
      <c r="B26" s="157">
        <f>SUM([22]M01!B25,[22]M02!B25,[22]M03!B25,[22]M04!B25,[22]M05!B25,[22]M06!B25,[22]M07!B25,[22]M08!B25,[22]M09!B25,[22]M10!B25,[22]M11!B25,[22]M12!B25)</f>
        <v>256.96764999999999</v>
      </c>
      <c r="C26" s="158">
        <f>SUM([22]M01!C25,[22]M02!C25,[22]M03!C25,[22]M04!C25,[22]M05!C25,[22]M06!C25,[22]M07!C25,[22]M08!C25,[22]M09!C25,[22]M10!C25,[22]M11!C25,[22]M12!C25)</f>
        <v>0</v>
      </c>
      <c r="D26" s="158">
        <f>SUM([22]M01!D25,[22]M02!D25,[22]M03!D25,[22]M04!D25,[22]M05!D25,[22]M06!D25,[22]M07!D25,[22]M08!D25,[22]M09!D25,[22]M10!D25,[22]M11!D25,[22]M12!D25)</f>
        <v>0</v>
      </c>
      <c r="E26" s="158">
        <f>SUM([22]M01!E25,[22]M02!E25,[22]M03!E25,[22]M04!E25,[22]M05!E25,[22]M06!E25,[22]M07!E25,[22]M08!E25,[22]M09!E25,[22]M10!E25,[22]M11!E25,[22]M12!E25)</f>
        <v>663.96775000000002</v>
      </c>
      <c r="F26" s="158">
        <f>SUM([22]M01!F25,[22]M02!F25,[22]M03!F25,[22]M04!F25,[22]M05!F25,[22]M06!F25,[22]M07!F25,[22]M08!F25,[22]M09!F25,[22]M10!F25,[22]M11!F25,[22]M12!F25)</f>
        <v>680.22450000000003</v>
      </c>
      <c r="G26" s="158">
        <f>SUM([22]M01!G25,[22]M02!G25,[22]M03!G25,[22]M04!G25,[22]M05!G25,[22]M06!G25,[22]M07!G25,[22]M08!G25,[22]M09!G25,[22]M10!G25,[22]M11!G25,[22]M12!G25)</f>
        <v>1422.0255000000002</v>
      </c>
      <c r="H26" s="158">
        <f>SUM([22]M01!H25,[22]M02!H25,[22]M03!H25,[22]M04!H25,[22]M05!H25,[22]M06!H25,[22]M07!H25,[22]M08!H25,[22]M09!H25,[22]M10!H25,[22]M11!H25,[22]M12!H25)</f>
        <v>8454.0740999999998</v>
      </c>
      <c r="I26" s="158">
        <f>SUM([22]M01!I25,[22]M02!I25,[22]M03!I25,[22]M04!I25,[22]M05!I25,[22]M06!I25,[22]M07!I25,[22]M08!I25,[22]M09!I25,[22]M10!I25,[22]M11!I25,[22]M12!I25)</f>
        <v>0</v>
      </c>
      <c r="J26" s="158">
        <f>SUM([22]M01!J25,[22]M02!J25,[22]M03!J25,[22]M04!J25,[22]M05!J25,[22]M06!J25,[22]M07!J25,[22]M08!J25,[22]M09!J25,[22]M10!J25,[22]M11!J25,[22]M12!J25)</f>
        <v>1137.24215</v>
      </c>
      <c r="K26" s="159">
        <f>SUM([22]M01!K25,[22]M02!K25,[22]M03!K25,[22]M04!K25,[22]M05!K25,[22]M06!K25,[22]M07!K25,[22]M08!K25,[22]M09!K25,[22]M10!K25,[22]M11!K25,[22]M12!K25)</f>
        <v>51.513400000000004</v>
      </c>
      <c r="L26" s="160">
        <f>SUM(B26:K26)</f>
        <v>12666.01505</v>
      </c>
    </row>
    <row r="27" spans="1:14" ht="9.9499999999999993" customHeight="1"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2"/>
      <c r="N27" s="163"/>
    </row>
    <row r="28" spans="1:14" ht="20.25" customHeight="1">
      <c r="A28" s="151" t="s">
        <v>120</v>
      </c>
      <c r="L28" s="152"/>
      <c r="N28" s="163"/>
    </row>
    <row r="29" spans="1:14" ht="15" customHeight="1">
      <c r="A29" s="164" t="s">
        <v>64</v>
      </c>
      <c r="B29" s="165">
        <f>SUM([22]M01!B27*$B$14,[22]M02!B27*$C$14,[22]M03!B27*$D$14,[22]M04!B27*$E$14,[22]M05!B27*$F$14,[22]M06!B27*$G$14,[22]M07!B27*$H$14,[22]M08!B27*$I$14,[22]M09!B27*$J$14,[22]M10!B27*$K$14,[22]M11!B27*$L$14,[22]M12!B27*$M$14)/$N$14</f>
        <v>2.2489919443921123</v>
      </c>
      <c r="C29" s="166">
        <f>SUM([22]M01!C27*$B$14,[22]M02!C27*$C$14,[22]M03!C27*$D$14,[22]M04!C27*$E$14,[22]M05!C27*$F$14,[22]M06!C27*$G$14,[22]M07!C27*$H$14,[22]M08!C27*$I$14,[22]M09!C27*$J$14,[22]M10!C27*$K$14,[22]M11!C27*$L$14,[22]M12!C27*$M$14)/$N$14</f>
        <v>2.3923979257093602</v>
      </c>
      <c r="D29" s="166">
        <f>SUM([22]M01!D27*$B$14,[22]M02!D27*$C$14,[22]M03!D27*$D$14,[22]M04!D27*$E$14,[22]M05!D27*$F$14,[22]M06!D27*$G$14,[22]M07!D27*$H$14,[22]M08!D27*$I$14,[22]M09!D27*$J$14,[22]M10!D27*$K$14,[22]M11!D27*$L$14,[22]M12!D27*$M$14)/$N$14</f>
        <v>2.8146292170304124</v>
      </c>
      <c r="E29" s="166">
        <f>SUM([22]M01!E27*$B$14,[22]M02!E27*$C$14,[22]M03!E27*$D$14,[22]M04!E27*$E$14,[22]M05!E27*$F$14,[22]M06!E27*$G$14,[22]M07!E27*$H$14,[22]M08!E27*$I$14,[22]M09!E27*$J$14,[22]M10!E27*$K$14,[22]M11!E27*$L$14,[22]M12!E27*$M$14)/$N$14</f>
        <v>1.9442603096890725</v>
      </c>
      <c r="F29" s="166">
        <f>SUM([22]M01!F27*$B$14,[22]M02!F27*$C$14,[22]M03!F27*$D$14,[22]M04!F27*$E$14,[22]M05!F27*$F$14,[22]M06!F27*$G$14,[22]M07!F27*$H$14,[22]M08!F27*$I$14,[22]M09!F27*$J$14,[22]M10!F27*$K$14,[22]M11!F27*$L$14,[22]M12!F27*$M$14)/$N$14</f>
        <v>0.51318383308559157</v>
      </c>
      <c r="G29" s="166">
        <f>SUM([22]M01!G27*$B$14,[22]M02!G27*$C$14,[22]M03!G27*$D$14,[22]M04!G27*$E$14,[22]M05!G27*$F$14,[22]M06!G27*$G$14,[22]M07!G27*$H$14,[22]M08!G27*$I$14,[22]M09!G27*$J$14,[22]M10!G27*$K$14,[22]M11!G27*$L$14,[22]M12!G27*$M$14)/$N$14</f>
        <v>0.7860666035985332</v>
      </c>
      <c r="H29" s="166">
        <f>SUM([22]M01!H27*$B$14,[22]M02!H27*$C$14,[22]M03!H27*$D$14,[22]M04!H27*$E$14,[22]M05!H27*$F$14,[22]M06!H27*$G$14,[22]M07!H27*$H$14,[22]M08!H27*$I$14,[22]M09!H27*$J$14,[22]M10!H27*$K$14,[22]M11!H27*$L$14,[22]M12!H27*$M$14)/$N$14</f>
        <v>0</v>
      </c>
      <c r="I29" s="166">
        <f>SUM([22]M01!I27*$B$14,[22]M02!I27*$C$14,[22]M03!I27*$D$14,[22]M04!I27*$E$14,[22]M05!I27*$F$14,[22]M06!I27*$G$14,[22]M07!I27*$H$14,[22]M08!I27*$I$14,[22]M09!I27*$J$14,[22]M10!I27*$K$14,[22]M11!I27*$L$14,[22]M12!I27*$M$14)/$N$14</f>
        <v>0.59763879065535019</v>
      </c>
      <c r="J29" s="166">
        <f>SUM([22]M01!J27*$B$14,[22]M02!J27*$C$14,[22]M03!J27*$D$14,[22]M04!J27*$E$14,[22]M05!J27*$F$14,[22]M06!J27*$G$14,[22]M07!J27*$H$14,[22]M08!J27*$I$14,[22]M09!J27*$J$14,[22]M10!J27*$K$14,[22]M11!J27*$L$14,[22]M12!J27*$M$14)/$N$14</f>
        <v>0.73967547907927567</v>
      </c>
      <c r="K29" s="167">
        <f>SUM([22]M01!K27*$B$14,[22]M02!K27*$C$14,[22]M03!K27*$D$14,[22]M04!K27*$E$14,[22]M05!K27*$F$14,[22]M06!K27*$G$14,[22]M07!K27*$H$14,[22]M08!K27*$I$14,[22]M09!K27*$J$14,[22]M10!K27*$K$14,[22]M11!K27*$L$14,[22]M12!K27*$M$14)/$N$14</f>
        <v>3.5630811165835845</v>
      </c>
      <c r="L29" s="152"/>
      <c r="N29" s="163"/>
    </row>
    <row r="30" spans="1:14" ht="15" customHeight="1">
      <c r="A30" s="168" t="s">
        <v>121</v>
      </c>
      <c r="B30" s="169">
        <f>SUM([22]M01!B28*$B$14,[22]M02!B28*$C$14,[22]M03!B28*$D$14,[22]M04!B28*$E$14,[22]M05!B28*$F$14,[22]M06!B28*$G$14,[22]M07!B28*$H$14,[22]M08!B28*$I$14,[22]M09!B28*$J$14,[22]M10!B28*$K$14,[22]M11!B28*$L$14,[22]M12!B28*$M$14)/$N$14</f>
        <v>0</v>
      </c>
      <c r="C30" s="170">
        <f>SUM([22]M01!C28*$B$14,[22]M02!C28*$C$14,[22]M03!C28*$D$14,[22]M04!C28*$E$14,[22]M05!C28*$F$14,[22]M06!C28*$G$14,[22]M07!C28*$H$14,[22]M08!C28*$I$14,[22]M09!C28*$J$14,[22]M10!C28*$K$14,[22]M11!C28*$L$14,[22]M12!C28*$M$14)/$N$14</f>
        <v>0</v>
      </c>
      <c r="D30" s="170">
        <f>SUM([22]M01!D28*$B$14,[22]M02!D28*$C$14,[22]M03!D28*$D$14,[22]M04!D28*$E$14,[22]M05!D28*$F$14,[22]M06!D28*$G$14,[22]M07!D28*$H$14,[22]M08!D28*$I$14,[22]M09!D28*$J$14,[22]M10!D28*$K$14,[22]M11!D28*$L$14,[22]M12!D28*$M$14)/$N$14</f>
        <v>0</v>
      </c>
      <c r="E30" s="170">
        <f>SUM([22]M01!E28*$B$14,[22]M02!E28*$C$14,[22]M03!E28*$D$14,[22]M04!E28*$E$14,[22]M05!E28*$F$14,[22]M06!E28*$G$14,[22]M07!E28*$H$14,[22]M08!E28*$I$14,[22]M09!E28*$J$14,[22]M10!E28*$K$14,[22]M11!E28*$L$14,[22]M12!E28*$M$14)/$N$14</f>
        <v>0.64016537723084632</v>
      </c>
      <c r="F30" s="170">
        <f>SUM([22]M01!F28*$B$14,[22]M02!F28*$C$14,[22]M03!F28*$D$14,[22]M04!F28*$E$14,[22]M05!F28*$F$14,[22]M06!F28*$G$14,[22]M07!F28*$H$14,[22]M08!F28*$I$14,[22]M09!F28*$J$14,[22]M10!F28*$K$14,[22]M11!F28*$L$14,[22]M12!F28*$M$14)/$N$14</f>
        <v>1.6273639136639253</v>
      </c>
      <c r="G30" s="170">
        <f>SUM([22]M01!G28*$B$14,[22]M02!G28*$C$14,[22]M03!G28*$D$14,[22]M04!G28*$E$14,[22]M05!G28*$F$14,[22]M06!G28*$G$14,[22]M07!G28*$H$14,[22]M08!G28*$I$14,[22]M09!G28*$J$14,[22]M10!G28*$K$14,[22]M11!G28*$L$14,[22]M12!G28*$M$14)/$N$14</f>
        <v>2.3991597071230086</v>
      </c>
      <c r="H30" s="170">
        <f>SUM([22]M01!H28*$B$14,[22]M02!H28*$C$14,[22]M03!H28*$D$14,[22]M04!H28*$E$14,[22]M05!H28*$F$14,[22]M06!H28*$G$14,[22]M07!H28*$H$14,[22]M08!H28*$I$14,[22]M09!H28*$J$14,[22]M10!H28*$K$14,[22]M11!H28*$L$14,[22]M12!H28*$M$14)/$N$14</f>
        <v>2.7392061745031877</v>
      </c>
      <c r="I30" s="170">
        <f>SUM([22]M01!I28*$B$14,[22]M02!I28*$C$14,[22]M03!I28*$D$14,[22]M04!I28*$E$14,[22]M05!I28*$F$14,[22]M06!I28*$G$14,[22]M07!I28*$H$14,[22]M08!I28*$I$14,[22]M09!I28*$J$14,[22]M10!I28*$K$14,[22]M11!I28*$L$14,[22]M12!I28*$M$14)/$N$14</f>
        <v>0</v>
      </c>
      <c r="J30" s="170">
        <f>SUM([22]M01!J28*$B$14,[22]M02!J28*$C$14,[22]M03!J28*$D$14,[22]M04!J28*$E$14,[22]M05!J28*$F$14,[22]M06!J28*$G$14,[22]M07!J28*$H$14,[22]M08!J28*$I$14,[22]M09!J28*$J$14,[22]M10!J28*$K$14,[22]M11!J28*$L$14,[22]M12!J28*$M$14)/$N$14</f>
        <v>2.823345623278203</v>
      </c>
      <c r="K30" s="171">
        <f>SUM([22]M01!K28*$B$14,[22]M02!K28*$C$14,[22]M03!K28*$D$14,[22]M04!K28*$E$14,[22]M05!K28*$F$14,[22]M06!K28*$G$14,[22]M07!K28*$H$14,[22]M08!K28*$I$14,[22]M09!K28*$J$14,[22]M10!K28*$K$14,[22]M11!K28*$L$14,[22]M12!K28*$M$14)/$N$14</f>
        <v>0.75646838627482715</v>
      </c>
      <c r="L30" s="152"/>
      <c r="N30" s="163"/>
    </row>
    <row r="31" spans="1:14" ht="20.25" customHeight="1">
      <c r="A31" s="151" t="s">
        <v>122</v>
      </c>
      <c r="L31" s="152"/>
      <c r="N31" s="163"/>
    </row>
    <row r="32" spans="1:14" ht="15" customHeight="1">
      <c r="A32" s="172" t="s">
        <v>123</v>
      </c>
      <c r="B32" s="173">
        <f>SUM([22]M01!B30,[22]M02!B30,[22]M03!B30,[22]M04!B30,[22]M05!B30,[22]M06!B30,[22]M07!B30,[22]M08!B30,[22]M09!B30,[22]M10!B30,[22]M11!B30,[22]M12!B30)</f>
        <v>7.1167717138304489</v>
      </c>
      <c r="L32" s="152"/>
      <c r="N32" s="163"/>
    </row>
    <row r="33" spans="1:14" ht="15" customHeight="1">
      <c r="A33" s="174" t="s">
        <v>124</v>
      </c>
      <c r="B33" s="175">
        <f>SUM([22]M01!B31,[22]M02!B31,[22]M03!B31,[22]M04!B31,[22]M05!B31,[22]M06!B31,[22]M07!B31,[22]M08!B31,[22]M09!B31,[22]M10!B31,[22]M11!B31,[22]M12!B31)</f>
        <v>20.666031494101979</v>
      </c>
      <c r="L33" s="152"/>
      <c r="N33" s="163"/>
    </row>
    <row r="34" spans="1:14" ht="20.25" hidden="1" customHeight="1">
      <c r="A34" s="151" t="s">
        <v>125</v>
      </c>
      <c r="L34" s="152"/>
      <c r="N34" s="163"/>
    </row>
    <row r="35" spans="1:14" ht="15" hidden="1" customHeight="1">
      <c r="A35" s="172" t="s">
        <v>123</v>
      </c>
      <c r="B35" s="173" t="e">
        <f>SUM([22]M01!#REF!,[22]M02!#REF!,[22]M03!#REF!,[22]M04!#REF!,[22]M05!#REF!,[22]M06!#REF!,[22]M07!#REF!,[22]M08!#REF!,[22]M09!#REF!,[22]M10!#REF!,[22]M11!#REF!,[22]M12!#REF!)</f>
        <v>#REF!</v>
      </c>
      <c r="L35" s="152"/>
      <c r="N35" s="163"/>
    </row>
    <row r="36" spans="1:14" ht="15" hidden="1" customHeight="1">
      <c r="A36" s="174" t="s">
        <v>124</v>
      </c>
      <c r="B36" s="175" t="e">
        <f>SUM([22]M01!#REF!,[22]M02!#REF!,[22]M03!#REF!,[22]M04!#REF!,[22]M05!#REF!,[22]M06!#REF!,[22]M07!#REF!,[22]M08!#REF!,[22]M09!#REF!,[22]M10!#REF!,[22]M11!#REF!,[22]M12!#REF!)</f>
        <v>#REF!</v>
      </c>
      <c r="L36" s="152"/>
      <c r="N36" s="163"/>
    </row>
    <row r="37" spans="1:14" ht="20.25" customHeight="1">
      <c r="A37" s="151" t="s">
        <v>126</v>
      </c>
      <c r="L37" s="152"/>
      <c r="N37" s="163"/>
    </row>
    <row r="38" spans="1:14" ht="15" customHeight="1">
      <c r="A38" s="176" t="s">
        <v>121</v>
      </c>
      <c r="B38" s="177">
        <f>SUM([22]M01!B33*$B$14,[22]M02!B33*$C$14,[22]M03!B33*$D$14,[22]M04!B33*$E$14,[22]M05!B33*$F$14,[22]M06!B33*$G$14,[22]M07!B33*$H$14,[22]M08!B33*$I$14,[22]M09!B33*$J$14,[22]M10!B33*$K$14,[22]M11!B33*$L$14,[22]M12!B33*$M$14)/$N$14</f>
        <v>0</v>
      </c>
      <c r="C38" s="178">
        <f>SUM([22]M01!C33*$B$14,[22]M02!C33*$C$14,[22]M03!C33*$D$14,[22]M04!C33*$E$14,[22]M05!C33*$F$14,[22]M06!C33*$G$14,[22]M07!C33*$H$14,[22]M08!C33*$I$14,[22]M09!C33*$J$14,[22]M10!C33*$K$14,[22]M11!C33*$L$14,[22]M12!C33*$M$14)/$N$14</f>
        <v>0</v>
      </c>
      <c r="D38" s="178">
        <f>SUM([22]M01!D33*$B$14,[22]M02!D33*$C$14,[22]M03!D33*$D$14,[22]M04!D33*$E$14,[22]M05!D33*$F$14,[22]M06!D33*$G$14,[22]M07!D33*$H$14,[22]M08!D33*$I$14,[22]M09!D33*$J$14,[22]M10!D33*$K$14,[22]M11!D33*$L$14,[22]M12!D33*$M$14)/$N$14</f>
        <v>0</v>
      </c>
      <c r="E38" s="178">
        <f>SUM([22]M01!E33*$B$14,[22]M02!E33*$C$14,[22]M03!E33*$D$14,[22]M04!E33*$E$14,[22]M05!E33*$F$14,[22]M06!E33*$G$14,[22]M07!E33*$H$14,[22]M08!E33*$I$14,[22]M09!E33*$J$14,[22]M10!E33*$K$14,[22]M11!E33*$L$14,[22]M12!E33*$M$14)/$N$14</f>
        <v>0</v>
      </c>
      <c r="F38" s="178">
        <f>SUM([22]M01!F33*$B$14,[22]M02!F33*$C$14,[22]M03!F33*$D$14,[22]M04!F33*$E$14,[22]M05!F33*$F$14,[22]M06!F33*$G$14,[22]M07!F33*$H$14,[22]M08!F33*$I$14,[22]M09!F33*$J$14,[22]M10!F33*$K$14,[22]M11!F33*$L$14,[22]M12!F33*$M$14)/$N$14</f>
        <v>0</v>
      </c>
      <c r="G38" s="178">
        <f>SUM([22]M01!G33*$B$14,[22]M02!G33*$C$14,[22]M03!G33*$D$14,[22]M04!G33*$E$14,[22]M05!G33*$F$14,[22]M06!G33*$G$14,[22]M07!G33*$H$14,[22]M08!G33*$I$14,[22]M09!G33*$J$14,[22]M10!G33*$K$14,[22]M11!G33*$L$14,[22]M12!G33*$M$14)/$N$14</f>
        <v>0</v>
      </c>
      <c r="H38" s="178">
        <f>SUM([22]M01!H33*$B$14,[22]M02!H33*$C$14,[22]M03!H33*$D$14,[22]M04!H33*$E$14,[22]M05!H33*$F$14,[22]M06!H33*$G$14,[22]M07!H33*$H$14,[22]M08!H33*$I$14,[22]M09!H33*$J$14,[22]M10!H33*$K$14,[22]M11!H33*$L$14,[22]M12!H33*$M$14)/$N$14</f>
        <v>0</v>
      </c>
      <c r="I38" s="178">
        <f>SUM([22]M01!I33*$B$14,[22]M02!I33*$C$14,[22]M03!I33*$D$14,[22]M04!I33*$E$14,[22]M05!I33*$F$14,[22]M06!I33*$G$14,[22]M07!I33*$H$14,[22]M08!I33*$I$14,[22]M09!I33*$J$14,[22]M10!I33*$K$14,[22]M11!I33*$L$14,[22]M12!I33*$M$14)/$N$14</f>
        <v>0</v>
      </c>
      <c r="J38" s="178">
        <f>SUM([22]M01!J33*$B$14,[22]M02!J33*$C$14,[22]M03!J33*$D$14,[22]M04!J33*$E$14,[22]M05!J33*$F$14,[22]M06!J33*$G$14,[22]M07!J33*$H$14,[22]M08!J33*$I$14,[22]M09!J33*$J$14,[22]M10!J33*$K$14,[22]M11!J33*$L$14,[22]M12!J33*$M$14)/$N$14</f>
        <v>0</v>
      </c>
      <c r="K38" s="179">
        <f>SUM([22]M01!K33*$B$14,[22]M02!K33*$C$14,[22]M03!K33*$D$14,[22]M04!K33*$E$14,[22]M05!K33*$F$14,[22]M06!K33*$G$14,[22]M07!K33*$H$14,[22]M08!K33*$I$14,[22]M09!K33*$J$14,[22]M10!K33*$K$14,[22]M11!K33*$L$14,[22]M12!K33*$M$14)/$N$14</f>
        <v>0</v>
      </c>
      <c r="L38" s="152"/>
      <c r="N38" s="163"/>
    </row>
    <row r="39" spans="1:14" ht="20.25" customHeight="1">
      <c r="A39" s="151" t="s">
        <v>127</v>
      </c>
      <c r="L39" s="152"/>
      <c r="N39" s="163"/>
    </row>
    <row r="40" spans="1:14" ht="15" customHeight="1">
      <c r="A40" s="174" t="s">
        <v>124</v>
      </c>
      <c r="B40" s="175">
        <f>SUM([22]M01!I34,[22]M02!I34,[22]M03!I34,[22]M04!I34,[22]M05!I34,[22]M06!I34,[22]M07!I34,[22]M08!I34,[22]M09!I34,[22]M10!I34,[22]M11!I34,[22]M12!I34)</f>
        <v>0</v>
      </c>
      <c r="L40" s="152"/>
      <c r="N40" s="163"/>
    </row>
    <row r="41" spans="1:14" ht="9.9499999999999993" customHeight="1">
      <c r="L41" s="152"/>
      <c r="N41" s="163"/>
    </row>
    <row r="42" spans="1:14" ht="9.9499999999999993" customHeight="1" thickBot="1">
      <c r="L42" s="152"/>
      <c r="N42" s="163"/>
    </row>
    <row r="43" spans="1:14" ht="20.25" customHeight="1" thickTop="1">
      <c r="A43" s="180" t="s">
        <v>128</v>
      </c>
      <c r="B43" s="181"/>
      <c r="C43" s="181"/>
      <c r="D43" s="181"/>
      <c r="E43" s="181"/>
      <c r="F43" s="181"/>
      <c r="G43" s="181"/>
      <c r="H43" s="181"/>
      <c r="I43" s="181"/>
      <c r="J43" s="181"/>
      <c r="K43" s="182"/>
      <c r="L43" s="183"/>
      <c r="N43" s="163"/>
    </row>
    <row r="44" spans="1:14" ht="15" customHeight="1">
      <c r="A44" s="184" t="s">
        <v>64</v>
      </c>
      <c r="B44" s="185">
        <f>IFERROR(B54/B25,0)</f>
        <v>2.2227732912373206</v>
      </c>
      <c r="C44" s="186">
        <f t="shared" ref="C44:K44" si="0">IFERROR(C54/C25,0)</f>
        <v>2.3238019252587847</v>
      </c>
      <c r="D44" s="186">
        <f t="shared" si="0"/>
        <v>2.7086118597062652</v>
      </c>
      <c r="E44" s="186">
        <f t="shared" si="0"/>
        <v>1.8996463447026399</v>
      </c>
      <c r="F44" s="186">
        <f t="shared" si="0"/>
        <v>0.79917641250517146</v>
      </c>
      <c r="G44" s="186">
        <f t="shared" si="0"/>
        <v>0.80544802518047298</v>
      </c>
      <c r="H44" s="186">
        <f t="shared" si="0"/>
        <v>0</v>
      </c>
      <c r="I44" s="186">
        <f t="shared" si="0"/>
        <v>1.0036451780200233</v>
      </c>
      <c r="J44" s="186">
        <f t="shared" si="0"/>
        <v>0.66417196519908617</v>
      </c>
      <c r="K44" s="187">
        <f t="shared" si="0"/>
        <v>3.3866892382187141</v>
      </c>
      <c r="L44" s="183"/>
      <c r="N44" s="163"/>
    </row>
    <row r="45" spans="1:14" ht="15" customHeight="1">
      <c r="A45" s="188" t="s">
        <v>121</v>
      </c>
      <c r="B45" s="189">
        <f t="shared" ref="B45:K45" si="1">IFERROR(B55/B26,0)</f>
        <v>0</v>
      </c>
      <c r="C45" s="189">
        <f t="shared" si="1"/>
        <v>0</v>
      </c>
      <c r="D45" s="189">
        <f t="shared" si="1"/>
        <v>0</v>
      </c>
      <c r="E45" s="189">
        <f t="shared" si="1"/>
        <v>0.57715152808904069</v>
      </c>
      <c r="F45" s="189">
        <f t="shared" si="1"/>
        <v>1.5563372221459744</v>
      </c>
      <c r="G45" s="189">
        <f t="shared" si="1"/>
        <v>2.3624203702976403</v>
      </c>
      <c r="H45" s="189">
        <f t="shared" si="1"/>
        <v>2.65596691842073</v>
      </c>
      <c r="I45" s="189">
        <f t="shared" si="1"/>
        <v>0</v>
      </c>
      <c r="J45" s="189">
        <f t="shared" si="1"/>
        <v>2.7409354620251487</v>
      </c>
      <c r="K45" s="190">
        <f t="shared" si="1"/>
        <v>0.49338138038902879</v>
      </c>
      <c r="L45" s="183"/>
      <c r="N45" s="163"/>
    </row>
    <row r="46" spans="1:14" ht="20.25" customHeight="1">
      <c r="A46" s="191" t="s">
        <v>129</v>
      </c>
      <c r="B46" s="192"/>
      <c r="C46" s="192"/>
      <c r="D46" s="192"/>
      <c r="E46" s="192"/>
      <c r="F46" s="192"/>
      <c r="G46" s="192"/>
      <c r="H46" s="192"/>
      <c r="I46" s="193"/>
      <c r="J46" s="193"/>
      <c r="K46" s="194"/>
      <c r="L46" s="183"/>
      <c r="N46" s="195"/>
    </row>
    <row r="47" spans="1:14" ht="15" customHeight="1">
      <c r="A47" s="196" t="s">
        <v>123</v>
      </c>
      <c r="B47" s="197">
        <f>B32</f>
        <v>7.1167717138304489</v>
      </c>
      <c r="C47" s="198"/>
      <c r="D47" s="198"/>
      <c r="E47" s="193"/>
      <c r="F47" s="193"/>
      <c r="G47" s="193"/>
      <c r="H47" s="192"/>
      <c r="I47" s="193"/>
      <c r="J47" s="193"/>
      <c r="K47" s="194"/>
      <c r="L47" s="183"/>
      <c r="N47" s="199"/>
    </row>
    <row r="48" spans="1:14" ht="15" customHeight="1">
      <c r="A48" s="200" t="s">
        <v>124</v>
      </c>
      <c r="B48" s="201">
        <f>B33+B40</f>
        <v>20.666031494101979</v>
      </c>
      <c r="C48" s="198"/>
      <c r="D48" s="198"/>
      <c r="E48" s="193"/>
      <c r="F48" s="193"/>
      <c r="G48" s="193"/>
      <c r="H48" s="192"/>
      <c r="I48" s="193"/>
      <c r="J48" s="193"/>
      <c r="K48" s="194"/>
      <c r="L48" s="183"/>
      <c r="N48" s="199"/>
    </row>
    <row r="49" spans="1:14" ht="9.9499999999999993" customHeight="1" thickBot="1">
      <c r="A49" s="202"/>
      <c r="B49" s="203"/>
      <c r="C49" s="204"/>
      <c r="D49" s="204"/>
      <c r="E49" s="204"/>
      <c r="F49" s="204"/>
      <c r="G49" s="204"/>
      <c r="H49" s="204"/>
      <c r="I49" s="204"/>
      <c r="J49" s="204"/>
      <c r="K49" s="205"/>
      <c r="L49" s="183"/>
      <c r="N49" s="163"/>
    </row>
    <row r="50" spans="1:14" ht="9.9499999999999993" customHeight="1" thickTop="1">
      <c r="B50" s="206"/>
      <c r="L50" s="152"/>
      <c r="N50" s="163"/>
    </row>
    <row r="51" spans="1:14" ht="20.25" customHeight="1">
      <c r="A51" s="207" t="s">
        <v>130</v>
      </c>
      <c r="B51" s="208"/>
      <c r="C51" s="208"/>
      <c r="D51" s="208"/>
      <c r="E51" s="208"/>
      <c r="F51" s="208"/>
      <c r="G51" s="208"/>
      <c r="H51" s="208"/>
      <c r="I51" s="208"/>
      <c r="J51" s="208"/>
      <c r="K51" s="208"/>
      <c r="L51" s="209">
        <f>ROUND(SUM(L54:L55,L57:L58),3)</f>
        <v>132548.902</v>
      </c>
      <c r="M51" s="209">
        <f>ROUND(B3,3)</f>
        <v>132548.902</v>
      </c>
      <c r="N51" s="249"/>
    </row>
    <row r="52" spans="1:14" ht="20.25" customHeight="1">
      <c r="A52" s="210" t="s">
        <v>131</v>
      </c>
      <c r="B52" s="208"/>
      <c r="C52" s="208"/>
      <c r="D52" s="208"/>
      <c r="E52" s="208"/>
      <c r="F52" s="208"/>
      <c r="G52" s="208"/>
      <c r="H52" s="208"/>
      <c r="I52" s="208"/>
      <c r="J52" s="208"/>
      <c r="K52" s="208"/>
      <c r="L52" s="162"/>
      <c r="M52" s="211">
        <f>M53+M56</f>
        <v>0.9999999986968191</v>
      </c>
      <c r="N52" s="163"/>
    </row>
    <row r="53" spans="1:14" ht="20.25" customHeight="1">
      <c r="A53" s="212" t="s">
        <v>19</v>
      </c>
      <c r="B53" s="213">
        <v>1</v>
      </c>
      <c r="C53" s="214">
        <v>2</v>
      </c>
      <c r="D53" s="214">
        <v>3</v>
      </c>
      <c r="E53" s="214">
        <v>4</v>
      </c>
      <c r="F53" s="214">
        <v>5</v>
      </c>
      <c r="G53" s="214">
        <v>6</v>
      </c>
      <c r="H53" s="214">
        <v>7</v>
      </c>
      <c r="I53" s="214">
        <v>8</v>
      </c>
      <c r="J53" s="214">
        <v>9</v>
      </c>
      <c r="K53" s="215">
        <v>10</v>
      </c>
      <c r="L53" s="216">
        <f>L54+L55</f>
        <v>57463.497859132185</v>
      </c>
      <c r="M53" s="211">
        <f>L53/$M$51</f>
        <v>0.43352677383274124</v>
      </c>
      <c r="N53" s="217"/>
    </row>
    <row r="54" spans="1:14" ht="15" customHeight="1">
      <c r="A54" s="218" t="s">
        <v>64</v>
      </c>
      <c r="B54" s="219">
        <f>SUM([22]M01!B38,[22]M02!B38,[22]M03!B38,[22]M04!B38,[22]M05!B38,[22]M06!B38,[22]M07!B38,[22]M08!B38,[22]M09!B38,[22]M10!B38,[22]M11!B38,[22]M12!B38)</f>
        <v>3888.8965780407621</v>
      </c>
      <c r="C54" s="220">
        <f>SUM([22]M01!C38,[22]M02!C38,[22]M03!C38,[22]M04!C38,[22]M05!C38,[22]M06!C38,[22]M07!C38,[22]M08!C38,[22]M09!C38,[22]M10!C38,[22]M11!C38,[22]M12!C38)</f>
        <v>6118.8725634566645</v>
      </c>
      <c r="D54" s="220">
        <f>SUM([22]M01!D38,[22]M02!D38,[22]M03!D38,[22]M04!D38,[22]M05!D38,[22]M06!D38,[22]M07!D38,[22]M08!D38,[22]M09!D38,[22]M10!D38,[22]M11!D38,[22]M12!D38)</f>
        <v>3205.8723679704399</v>
      </c>
      <c r="E54" s="220">
        <f>SUM([22]M01!E38,[22]M02!E38,[22]M03!E38,[22]M04!E38,[22]M05!E38,[22]M06!E38,[22]M07!E38,[22]M08!E38,[22]M09!E38,[22]M10!E38,[22]M11!E38,[22]M12!E38)</f>
        <v>6746.3727793945845</v>
      </c>
      <c r="F54" s="220">
        <f>SUM([22]M01!F38,[22]M02!F38,[22]M03!F38,[22]M04!F38,[22]M05!F38,[22]M06!F38,[22]M07!F38,[22]M08!F38,[22]M09!F38,[22]M10!F38,[22]M11!F38,[22]M12!F38)</f>
        <v>612.83984078315609</v>
      </c>
      <c r="G54" s="220">
        <f>SUM([22]M01!G38,[22]M02!G38,[22]M03!G38,[22]M04!G38,[22]M05!G38,[22]M06!G38,[22]M07!G38,[22]M08!G38,[22]M09!G38,[22]M10!G38,[22]M11!G38,[22]M12!G38)</f>
        <v>261.03185125495821</v>
      </c>
      <c r="H54" s="220">
        <f>SUM([22]M01!H38,[22]M02!H38,[22]M03!H38,[22]M04!H38,[22]M05!H38,[22]M06!H38,[22]M07!H38,[22]M08!H38,[22]M09!H38,[22]M10!H38,[22]M11!H38,[22]M12!H38)</f>
        <v>0</v>
      </c>
      <c r="I54" s="220">
        <f>SUM([22]M01!I38,[22]M02!I38,[22]M03!I38,[22]M04!I38,[22]M05!I38,[22]M06!I38,[22]M07!I38,[22]M08!I38,[22]M09!I38,[22]M10!I38,[22]M11!I38,[22]M12!I38)</f>
        <v>499.36165103350663</v>
      </c>
      <c r="J54" s="220">
        <f>SUM([22]M01!J38,[22]M02!J38,[22]M03!J38,[22]M04!J38,[22]M05!J38,[22]M06!J38,[22]M07!J38,[22]M08!J38,[22]M09!J38,[22]M10!J38,[22]M11!J38,[22]M12!J38)</f>
        <v>219.42089813010566</v>
      </c>
      <c r="K54" s="221">
        <f>SUM([22]M01!K38,[22]M02!K38,[22]M03!K38,[22]M04!K38,[22]M05!K38,[22]M06!K38,[22]M07!K38,[22]M08!K38,[22]M09!K38,[22]M10!K38,[22]M11!K38,[22]M12!K38)</f>
        <v>5513.2743847825795</v>
      </c>
      <c r="L54" s="222">
        <f>SUM(B54:K54)</f>
        <v>27065.942914846753</v>
      </c>
      <c r="M54" s="223">
        <f>L54/(L55+L54)</f>
        <v>0.47101105785793013</v>
      </c>
      <c r="N54" s="224"/>
    </row>
    <row r="55" spans="1:14" ht="15" customHeight="1">
      <c r="A55" s="225" t="s">
        <v>121</v>
      </c>
      <c r="B55" s="226">
        <f>SUM([22]M01!B39,[22]M02!B39,[22]M03!B39,[22]M04!B39,[22]M05!B39,[22]M06!B39,[22]M07!B39,[22]M08!B39,[22]M09!B39,[22]M10!B39,[22]M11!B39,[22]M12!B39)</f>
        <v>0</v>
      </c>
      <c r="C55" s="227">
        <f>SUM([22]M01!C39,[22]M02!C39,[22]M03!C39,[22]M04!C39,[22]M05!C39,[22]M06!C39,[22]M07!C39,[22]M08!C39,[22]M09!C39,[22]M10!C39,[22]M11!C39,[22]M12!C39)</f>
        <v>0</v>
      </c>
      <c r="D55" s="227">
        <f>SUM([22]M01!D39,[22]M02!D39,[22]M03!D39,[22]M04!D39,[22]M05!D39,[22]M06!D39,[22]M07!D39,[22]M08!D39,[22]M09!D39,[22]M10!D39,[22]M11!D39,[22]M12!D39)</f>
        <v>0</v>
      </c>
      <c r="E55" s="227">
        <f>SUM([22]M01!E39,[22]M02!E39,[22]M03!E39,[22]M04!E39,[22]M05!E39,[22]M06!E39,[22]M07!E39,[22]M08!E39,[22]M09!E39,[22]M10!E39,[22]M11!E39,[22]M12!E39)</f>
        <v>383.21000151434214</v>
      </c>
      <c r="F55" s="227">
        <f>SUM([22]M01!F39,[22]M02!F39,[22]M03!F39,[22]M04!F39,[22]M05!F39,[22]M06!F39,[22]M07!F39,[22]M08!F39,[22]M09!F39,[22]M10!F39,[22]M11!F39,[22]M12!F39)</f>
        <v>1058.6587087656344</v>
      </c>
      <c r="G55" s="227">
        <f>SUM([22]M01!G39,[22]M02!G39,[22]M03!G39,[22]M04!G39,[22]M05!G39,[22]M06!G39,[22]M07!G39,[22]M08!G39,[22]M09!G39,[22]M10!G39,[22]M11!G39,[22]M12!G39)</f>
        <v>3359.4220082826873</v>
      </c>
      <c r="H55" s="227">
        <f>SUM([22]M01!H39,[22]M02!H39,[22]M03!H39,[22]M04!H39,[22]M05!H39,[22]M06!H39,[22]M07!H39,[22]M08!H39,[22]M09!H39,[22]M10!H39,[22]M11!H39,[22]M12!H39)</f>
        <v>22453.741135477507</v>
      </c>
      <c r="I55" s="227">
        <f>SUM([22]M01!I39,[22]M02!I39,[22]M03!I39,[22]M04!I39,[22]M05!I39,[22]M06!I39,[22]M07!I39,[22]M08!I39,[22]M09!I39,[22]M10!I39,[22]M11!I39,[22]M12!I39)</f>
        <v>0</v>
      </c>
      <c r="J55" s="227">
        <f>SUM([22]M01!J39,[22]M02!J39,[22]M03!J39,[22]M04!J39,[22]M05!J39,[22]M06!J39,[22]M07!J39,[22]M08!J39,[22]M09!J39,[22]M10!J39,[22]M11!J39,[22]M12!J39)</f>
        <v>3117.1073378447236</v>
      </c>
      <c r="K55" s="228">
        <f>SUM([22]M01!K39,[22]M02!K39,[22]M03!K39,[22]M04!K39,[22]M05!K39,[22]M06!K39,[22]M07!K39,[22]M08!K39,[22]M09!K39,[22]M10!K39,[22]M11!K39,[22]M12!K39)</f>
        <v>25.415752400532199</v>
      </c>
      <c r="L55" s="229">
        <f>SUM(B55:K55)</f>
        <v>30397.554944285428</v>
      </c>
      <c r="M55" s="230">
        <f>L55/(L54+L55)</f>
        <v>0.52898894214206982</v>
      </c>
      <c r="N55" s="105"/>
    </row>
    <row r="56" spans="1:14" ht="20.25" customHeight="1">
      <c r="A56" s="210" t="s">
        <v>132</v>
      </c>
      <c r="B56" s="208"/>
      <c r="C56" s="208"/>
      <c r="D56" s="208"/>
      <c r="E56" s="208"/>
      <c r="F56" s="208"/>
      <c r="G56" s="208"/>
      <c r="H56" s="208"/>
      <c r="I56" s="208"/>
      <c r="J56" s="208"/>
      <c r="K56" s="208"/>
      <c r="L56" s="216">
        <f>L57+L58</f>
        <v>75085.40396813261</v>
      </c>
      <c r="M56" s="211">
        <f>L56/$M$51</f>
        <v>0.56647322486407781</v>
      </c>
      <c r="N56" s="217"/>
    </row>
    <row r="57" spans="1:14" ht="15" customHeight="1">
      <c r="A57" s="218" t="s">
        <v>64</v>
      </c>
      <c r="B57" s="219">
        <f>SUM([22]M01!B41,[22]M02!B41,[22]M03!B41,[22]M04!B41,[22]M05!B41,[22]M06!B41,[22]M07!B41,[22]M08!B41,[22]M09!B41,[22]M10!B41,[22]M11!B41,[22]M12!B41)</f>
        <v>2717.0411049061881</v>
      </c>
      <c r="C57" s="220">
        <f>SUM([22]M01!C41,[22]M02!C41,[22]M03!C41,[22]M04!C41,[22]M05!C41,[22]M06!C41,[22]M07!C41,[22]M08!C41,[22]M09!C41,[22]M10!C41,[22]M11!C41,[22]M12!C41)</f>
        <v>3904.83030394449</v>
      </c>
      <c r="D57" s="220">
        <f>SUM([22]M01!D41,[22]M02!D41,[22]M03!D41,[22]M04!D41,[22]M05!D41,[22]M06!D41,[22]M07!D41,[22]M08!D41,[22]M09!D41,[22]M10!D41,[22]M11!D41,[22]M12!D41)</f>
        <v>1381.3653896544904</v>
      </c>
      <c r="E57" s="220">
        <f>SUM([22]M01!E41,[22]M02!E41,[22]M03!E41,[22]M04!E41,[22]M05!E41,[22]M06!E41,[22]M07!E41,[22]M08!E41,[22]M09!E41,[22]M10!E41,[22]M11!E41,[22]M12!E41)</f>
        <v>5202.7687003207775</v>
      </c>
      <c r="F57" s="220">
        <f>SUM([22]M01!F41,[22]M02!F41,[22]M03!F41,[22]M04!F41,[22]M05!F41,[22]M06!F41,[22]M07!F41,[22]M08!F41,[22]M09!F41,[22]M10!F41,[22]M11!F41,[22]M12!F41)</f>
        <v>5667.7334191663704</v>
      </c>
      <c r="G57" s="220">
        <f>SUM([22]M01!G41,[22]M02!G41,[22]M03!G41,[22]M04!G41,[22]M05!G41,[22]M06!G41,[22]M07!G41,[22]M08!G41,[22]M09!G41,[22]M10!G41,[22]M11!G41,[22]M12!G41)</f>
        <v>1944.2830650327769</v>
      </c>
      <c r="H57" s="220">
        <f>SUM([22]M01!H41,[22]M02!H41,[22]M03!H41,[22]M04!H41,[22]M05!H41,[22]M06!H41,[22]M07!H41,[22]M08!H41,[22]M09!H41,[22]M10!H41,[22]M11!H41,[22]M12!H41)</f>
        <v>1089.8624202559947</v>
      </c>
      <c r="I57" s="220">
        <f>SUM([22]M01!I41,[22]M02!I41,[22]M03!I41,[22]M04!I41,[22]M05!I41,[22]M06!I41,[22]M07!I41,[22]M08!I41,[22]M09!I41,[22]M10!I41,[22]M11!I41,[22]M12!I41)</f>
        <v>1850.3606455959168</v>
      </c>
      <c r="J57" s="220">
        <f>SUM([22]M01!J41,[22]M02!J41,[22]M03!J41,[22]M04!J41,[22]M05!J41,[22]M06!J41,[22]M07!J41,[22]M08!J41,[22]M09!J41,[22]M10!J41,[22]M11!J41,[22]M12!J41)</f>
        <v>9794.4570711591532</v>
      </c>
      <c r="K57" s="221">
        <f>SUM([22]M01!K41,[22]M02!K41,[22]M03!K41,[22]M04!K41,[22]M05!K41,[22]M06!K41,[22]M07!K41,[22]M08!K41,[22]M09!K41,[22]M10!K41,[22]M11!K41,[22]M12!K41)</f>
        <v>1813.3534326839981</v>
      </c>
      <c r="L57" s="222">
        <f>SUM(B57:K57)</f>
        <v>35366.055552720165</v>
      </c>
      <c r="M57" s="223">
        <f>L57/(L58+L57)</f>
        <v>0.47101105785793013</v>
      </c>
      <c r="N57" s="224"/>
    </row>
    <row r="58" spans="1:14" ht="15" customHeight="1">
      <c r="A58" s="225" t="s">
        <v>121</v>
      </c>
      <c r="B58" s="226">
        <f>SUM([22]M01!B42,[22]M02!B42,[22]M03!B42,[22]M04!B42,[22]M05!B42,[22]M06!B42,[22]M07!B42,[22]M08!B42,[22]M09!B42,[22]M10!B42,[22]M11!B42,[22]M12!B42)</f>
        <v>547.85649490864341</v>
      </c>
      <c r="C58" s="227">
        <f>SUM([22]M01!C42,[22]M02!C42,[22]M03!C42,[22]M04!C42,[22]M05!C42,[22]M06!C42,[22]M07!C42,[22]M08!C42,[22]M09!C42,[22]M10!C42,[22]M11!C42,[22]M12!C42)</f>
        <v>0</v>
      </c>
      <c r="D58" s="227">
        <f>SUM([22]M01!D42,[22]M02!D42,[22]M03!D42,[22]M04!D42,[22]M05!D42,[22]M06!D42,[22]M07!D42,[22]M08!D42,[22]M09!D42,[22]M10!D42,[22]M11!D42,[22]M12!D42)</f>
        <v>1.8599428344691782</v>
      </c>
      <c r="E58" s="227">
        <f>SUM([22]M01!E42,[22]M02!E42,[22]M03!E42,[22]M04!E42,[22]M05!E42,[22]M06!E42,[22]M07!E42,[22]M08!E42,[22]M09!E42,[22]M10!E42,[22]M11!E42,[22]M12!E42)</f>
        <v>2903.5774249213282</v>
      </c>
      <c r="F58" s="227">
        <f>SUM([22]M01!F42,[22]M02!F42,[22]M03!F42,[22]M04!F42,[22]M05!F42,[22]M06!F42,[22]M07!F42,[22]M08!F42,[22]M09!F42,[22]M10!F42,[22]M11!F42,[22]M12!F42)</f>
        <v>4639.7832017247238</v>
      </c>
      <c r="G58" s="227">
        <f>SUM([22]M01!G42,[22]M02!G42,[22]M03!G42,[22]M04!G42,[22]M05!G42,[22]M06!G42,[22]M07!G42,[22]M08!G42,[22]M09!G42,[22]M10!G42,[22]M11!G42,[22]M12!G42)</f>
        <v>5767.1454128700752</v>
      </c>
      <c r="H58" s="227">
        <f>SUM([22]M01!H42,[22]M02!H42,[22]M03!H42,[22]M04!H42,[22]M05!H42,[22]M06!H42,[22]M07!H42,[22]M08!H42,[22]M09!H42,[22]M10!H42,[22]M11!H42,[22]M12!H42)</f>
        <v>21579.769464606521</v>
      </c>
      <c r="I58" s="227">
        <f>SUM([22]M01!I42,[22]M02!I42,[22]M03!I42,[22]M04!I42,[22]M05!I42,[22]M06!I42,[22]M07!I42,[22]M08!I42,[22]M09!I42,[22]M10!I42,[22]M11!I42,[22]M12!I42)</f>
        <v>33.065650390563164</v>
      </c>
      <c r="J58" s="227">
        <f>SUM([22]M01!J42,[22]M02!J42,[22]M03!J42,[22]M04!J42,[22]M05!J42,[22]M06!J42,[22]M07!J42,[22]M08!J42,[22]M09!J42,[22]M10!J42,[22]M11!J42,[22]M12!J42)</f>
        <v>3102.8393005874586</v>
      </c>
      <c r="K58" s="228">
        <f>SUM([22]M01!K42,[22]M02!K42,[22]M03!K42,[22]M04!K42,[22]M05!K42,[22]M06!K42,[22]M07!K42,[22]M08!K42,[22]M09!K42,[22]M10!K42,[22]M11!K42,[22]M12!K42)</f>
        <v>1143.4515225686623</v>
      </c>
      <c r="L58" s="229">
        <f>SUM(B58:K58)</f>
        <v>39719.348415412445</v>
      </c>
      <c r="M58" s="230">
        <f>L58/(L57+L58)</f>
        <v>0.52898894214206993</v>
      </c>
      <c r="N58" s="163"/>
    </row>
    <row r="59" spans="1:14" ht="20.25" customHeight="1">
      <c r="A59" s="210" t="s">
        <v>133</v>
      </c>
      <c r="B59" s="208"/>
      <c r="C59" s="208"/>
      <c r="D59" s="208"/>
      <c r="E59" s="208"/>
      <c r="F59" s="208"/>
      <c r="G59" s="208"/>
      <c r="H59" s="208"/>
      <c r="I59" s="208"/>
      <c r="J59" s="208"/>
      <c r="K59" s="208"/>
      <c r="L59" s="216">
        <f>L60+L61</f>
        <v>0</v>
      </c>
      <c r="M59" s="211">
        <f>IFERROR(L59/B7,0)</f>
        <v>0</v>
      </c>
      <c r="N59" s="163"/>
    </row>
    <row r="60" spans="1:14" ht="15" customHeight="1">
      <c r="A60" s="218" t="s">
        <v>134</v>
      </c>
      <c r="B60" s="219">
        <f>SUM([22]M01!B44,[22]M02!B44,[22]M03!B44,[22]M04!B44,[22]M05!B44,[22]M06!B44,[22]M07!B44,[22]M08!B44,[22]M09!B44,[22]M10!B44,[22]M11!B44,[22]M12!B44)</f>
        <v>0</v>
      </c>
      <c r="C60" s="220">
        <f>SUM([22]M01!C44,[22]M02!C44,[22]M03!C44,[22]M04!C44,[22]M05!C44,[22]M06!C44,[22]M07!C44,[22]M08!C44,[22]M09!C44,[22]M10!C44,[22]M11!C44,[22]M12!C44)</f>
        <v>0</v>
      </c>
      <c r="D60" s="220">
        <f>SUM([22]M01!D44,[22]M02!D44,[22]M03!D44,[22]M04!D44,[22]M05!D44,[22]M06!D44,[22]M07!D44,[22]M08!D44,[22]M09!D44,[22]M10!D44,[22]M11!D44,[22]M12!D44)</f>
        <v>0</v>
      </c>
      <c r="E60" s="220">
        <f>SUM([22]M01!E44,[22]M02!E44,[22]M03!E44,[22]M04!E44,[22]M05!E44,[22]M06!E44,[22]M07!E44,[22]M08!E44,[22]M09!E44,[22]M10!E44,[22]M11!E44,[22]M12!E44)</f>
        <v>0</v>
      </c>
      <c r="F60" s="220">
        <f>SUM([22]M01!F44,[22]M02!F44,[22]M03!F44,[22]M04!F44,[22]M05!F44,[22]M06!F44,[22]M07!F44,[22]M08!F44,[22]M09!F44,[22]M10!F44,[22]M11!F44,[22]M12!F44)</f>
        <v>0</v>
      </c>
      <c r="G60" s="220">
        <f>SUM([22]M01!G44,[22]M02!G44,[22]M03!G44,[22]M04!G44,[22]M05!G44,[22]M06!G44,[22]M07!G44,[22]M08!G44,[22]M09!G44,[22]M10!G44,[22]M11!G44,[22]M12!G44)</f>
        <v>0</v>
      </c>
      <c r="H60" s="220">
        <f>SUM([22]M01!H44,[22]M02!H44,[22]M03!H44,[22]M04!H44,[22]M05!H44,[22]M06!H44,[22]M07!H44,[22]M08!H44,[22]M09!H44,[22]M10!H44,[22]M11!H44,[22]M12!H44)</f>
        <v>0</v>
      </c>
      <c r="I60" s="220">
        <f>SUM([22]M01!I44,[22]M02!I44,[22]M03!I44,[22]M04!I44,[22]M05!I44,[22]M06!I44,[22]M07!I44,[22]M08!I44,[22]M09!I44,[22]M10!I44,[22]M11!I44,[22]M12!I44)</f>
        <v>0</v>
      </c>
      <c r="J60" s="220">
        <f>SUM([22]M01!J44,[22]M02!J44,[22]M03!J44,[22]M04!J44,[22]M05!J44,[22]M06!J44,[22]M07!J44,[22]M08!J44,[22]M09!J44,[22]M10!J44,[22]M11!J44,[22]M12!J44)</f>
        <v>0</v>
      </c>
      <c r="K60" s="221">
        <f>SUM([22]M01!K44,[22]M02!K44,[22]M03!K44,[22]M04!K44,[22]M05!K44,[22]M06!K44,[22]M07!K44,[22]M08!K44,[22]M09!K44,[22]M10!K44,[22]M11!K44,[22]M12!K44)</f>
        <v>0</v>
      </c>
      <c r="L60" s="222">
        <f>SUM(B60:K60)</f>
        <v>0</v>
      </c>
      <c r="M60" s="223" t="e">
        <f>L60/(L61+L60)</f>
        <v>#DIV/0!</v>
      </c>
      <c r="N60" s="163"/>
    </row>
    <row r="61" spans="1:14" ht="15" customHeight="1">
      <c r="A61" s="225" t="s">
        <v>135</v>
      </c>
      <c r="B61" s="226">
        <f>SUM([22]M01!B45,[22]M02!B45,[22]M03!B45,[22]M04!B45,[22]M05!B45,[22]M06!B45,[22]M07!B45,[22]M08!B45,[22]M09!B45,[22]M10!B45,[22]M11!B45,[22]M12!B45)</f>
        <v>0</v>
      </c>
      <c r="C61" s="227">
        <f>SUM([22]M01!C45,[22]M02!C45,[22]M03!C45,[22]M04!C45,[22]M05!C45,[22]M06!C45,[22]M07!C45,[22]M08!C45,[22]M09!C45,[22]M10!C45,[22]M11!C45,[22]M12!C45)</f>
        <v>0</v>
      </c>
      <c r="D61" s="227">
        <f>SUM([22]M01!D45,[22]M02!D45,[22]M03!D45,[22]M04!D45,[22]M05!D45,[22]M06!D45,[22]M07!D45,[22]M08!D45,[22]M09!D45,[22]M10!D45,[22]M11!D45,[22]M12!D45)</f>
        <v>0</v>
      </c>
      <c r="E61" s="227">
        <f>SUM([22]M01!E45,[22]M02!E45,[22]M03!E45,[22]M04!E45,[22]M05!E45,[22]M06!E45,[22]M07!E45,[22]M08!E45,[22]M09!E45,[22]M10!E45,[22]M11!E45,[22]M12!E45)</f>
        <v>0</v>
      </c>
      <c r="F61" s="227">
        <f>SUM([22]M01!F45,[22]M02!F45,[22]M03!F45,[22]M04!F45,[22]M05!F45,[22]M06!F45,[22]M07!F45,[22]M08!F45,[22]M09!F45,[22]M10!F45,[22]M11!F45,[22]M12!F45)</f>
        <v>0</v>
      </c>
      <c r="G61" s="227">
        <f>SUM([22]M01!G45,[22]M02!G45,[22]M03!G45,[22]M04!G45,[22]M05!G45,[22]M06!G45,[22]M07!G45,[22]M08!G45,[22]M09!G45,[22]M10!G45,[22]M11!G45,[22]M12!G45)</f>
        <v>0</v>
      </c>
      <c r="H61" s="227">
        <f>SUM([22]M01!H45,[22]M02!H45,[22]M03!H45,[22]M04!H45,[22]M05!H45,[22]M06!H45,[22]M07!H45,[22]M08!H45,[22]M09!H45,[22]M10!H45,[22]M11!H45,[22]M12!H45)</f>
        <v>0</v>
      </c>
      <c r="I61" s="227">
        <f>SUM([22]M01!I45,[22]M02!I45,[22]M03!I45,[22]M04!I45,[22]M05!I45,[22]M06!I45,[22]M07!I45,[22]M08!I45,[22]M09!I45,[22]M10!I45,[22]M11!I45,[22]M12!I45)</f>
        <v>0</v>
      </c>
      <c r="J61" s="227">
        <f>SUM([22]M01!J45,[22]M02!J45,[22]M03!J45,[22]M04!J45,[22]M05!J45,[22]M06!J45,[22]M07!J45,[22]M08!J45,[22]M09!J45,[22]M10!J45,[22]M11!J45,[22]M12!J45)</f>
        <v>0</v>
      </c>
      <c r="K61" s="228">
        <f>SUM([22]M01!K45,[22]M02!K45,[22]M03!K45,[22]M04!K45,[22]M05!K45,[22]M06!K45,[22]M07!K45,[22]M08!K45,[22]M09!K45,[22]M10!K45,[22]M11!K45,[22]M12!K45)</f>
        <v>0</v>
      </c>
      <c r="L61" s="229">
        <f>SUM(B61:K61)</f>
        <v>0</v>
      </c>
      <c r="M61" s="230" t="e">
        <f>L61/(L60+L61)</f>
        <v>#DIV/0!</v>
      </c>
      <c r="N61" s="163"/>
    </row>
    <row r="62" spans="1:14" ht="20.25" hidden="1" customHeight="1">
      <c r="A62" s="210" t="s">
        <v>136</v>
      </c>
      <c r="B62" s="231"/>
      <c r="C62" s="231"/>
      <c r="D62" s="231"/>
      <c r="E62" s="231"/>
      <c r="F62" s="231"/>
      <c r="G62" s="232">
        <f>SUM([22]M01!G46,[22]M02!G46,[22]M03!G46,[22]M04!G46,[22]M05!G46,[22]M06!G46,[22]M07!G46,[22]M08!G46,[22]M09!G46,[22]M10!G46,[22]M11!G46,[22]M12!G46)</f>
        <v>0</v>
      </c>
      <c r="H62" s="233">
        <f>G62/L51</f>
        <v>0</v>
      </c>
      <c r="I62" s="231"/>
      <c r="J62" s="231"/>
      <c r="K62" s="231"/>
      <c r="L62" s="209"/>
      <c r="N62" s="163"/>
    </row>
    <row r="63" spans="1:14" ht="15" customHeight="1">
      <c r="A63" s="231"/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09"/>
      <c r="N63" s="163"/>
    </row>
    <row r="64" spans="1:14" ht="20.25" customHeight="1">
      <c r="A64" s="234" t="s">
        <v>137</v>
      </c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216">
        <f>L65+L66</f>
        <v>132548.90182726478</v>
      </c>
      <c r="M64" s="236">
        <f>L64/(B3+B7)</f>
        <v>0.99999999999982103</v>
      </c>
      <c r="N64" s="237"/>
    </row>
    <row r="65" spans="1:14" ht="15" customHeight="1">
      <c r="A65" s="238" t="s">
        <v>64</v>
      </c>
      <c r="B65" s="239">
        <f>B54+B57</f>
        <v>6605.9376829469502</v>
      </c>
      <c r="C65" s="240">
        <f t="shared" ref="C65:K65" si="2">C54+C57</f>
        <v>10023.702867401154</v>
      </c>
      <c r="D65" s="240">
        <f t="shared" si="2"/>
        <v>4587.2377576249301</v>
      </c>
      <c r="E65" s="240">
        <f t="shared" si="2"/>
        <v>11949.141479715363</v>
      </c>
      <c r="F65" s="240">
        <f t="shared" si="2"/>
        <v>6280.5732599495268</v>
      </c>
      <c r="G65" s="240">
        <f t="shared" si="2"/>
        <v>2205.3149162877353</v>
      </c>
      <c r="H65" s="240">
        <f t="shared" si="2"/>
        <v>1089.8624202559947</v>
      </c>
      <c r="I65" s="240">
        <f t="shared" si="2"/>
        <v>2349.7222966294235</v>
      </c>
      <c r="J65" s="240">
        <f t="shared" si="2"/>
        <v>10013.877969289259</v>
      </c>
      <c r="K65" s="241">
        <f t="shared" si="2"/>
        <v>7326.6278174665777</v>
      </c>
      <c r="L65" s="222">
        <f>SUM(B65:K65)</f>
        <v>62431.998467566911</v>
      </c>
      <c r="M65" s="223">
        <f>L65/(L66+L65)</f>
        <v>0.47101105785793013</v>
      </c>
      <c r="N65" s="237"/>
    </row>
    <row r="66" spans="1:14" ht="15" customHeight="1">
      <c r="A66" s="242" t="s">
        <v>121</v>
      </c>
      <c r="B66" s="243">
        <f>B55+B58+B60+B61</f>
        <v>547.85649490864341</v>
      </c>
      <c r="C66" s="244">
        <f t="shared" ref="C66:K66" si="3">C55+C58+C60+C61</f>
        <v>0</v>
      </c>
      <c r="D66" s="244">
        <f t="shared" si="3"/>
        <v>1.8599428344691782</v>
      </c>
      <c r="E66" s="244">
        <f t="shared" si="3"/>
        <v>3286.7874264356706</v>
      </c>
      <c r="F66" s="244">
        <f t="shared" si="3"/>
        <v>5698.4419104903582</v>
      </c>
      <c r="G66" s="244">
        <f t="shared" si="3"/>
        <v>9126.5674211527621</v>
      </c>
      <c r="H66" s="244">
        <f t="shared" si="3"/>
        <v>44033.510600084031</v>
      </c>
      <c r="I66" s="244">
        <f t="shared" si="3"/>
        <v>33.065650390563164</v>
      </c>
      <c r="J66" s="244">
        <f t="shared" si="3"/>
        <v>6219.9466384321822</v>
      </c>
      <c r="K66" s="245">
        <f t="shared" si="3"/>
        <v>1168.8672749691946</v>
      </c>
      <c r="L66" s="229">
        <f>SUM(B66:K66)</f>
        <v>70116.90335969787</v>
      </c>
      <c r="M66" s="230">
        <f>L66/(L65+L66)</f>
        <v>0.52898894214206993</v>
      </c>
      <c r="N66" s="237"/>
    </row>
    <row r="67" spans="1:14" ht="15" customHeight="1">
      <c r="B67" s="233">
        <f>B65/$L$64</f>
        <v>4.9837739821908769E-2</v>
      </c>
      <c r="C67" s="233">
        <f t="shared" ref="C67:K67" si="4">C65/$L$64</f>
        <v>7.5622677587052767E-2</v>
      </c>
      <c r="D67" s="233">
        <f t="shared" si="4"/>
        <v>3.4607889574241296E-2</v>
      </c>
      <c r="E67" s="233">
        <f t="shared" si="4"/>
        <v>9.0148928546290474E-2</v>
      </c>
      <c r="F67" s="233">
        <f t="shared" si="4"/>
        <v>4.7383065218708872E-2</v>
      </c>
      <c r="G67" s="233">
        <f t="shared" si="4"/>
        <v>1.6637745661308156E-2</v>
      </c>
      <c r="H67" s="233">
        <f t="shared" si="4"/>
        <v>8.222342133594459E-3</v>
      </c>
      <c r="I67" s="233">
        <f t="shared" si="4"/>
        <v>1.7727210593502594E-2</v>
      </c>
      <c r="J67" s="233">
        <f t="shared" si="4"/>
        <v>7.5548554769161003E-2</v>
      </c>
      <c r="K67" s="233">
        <f t="shared" si="4"/>
        <v>5.5274903952161746E-2</v>
      </c>
      <c r="N67" s="163"/>
    </row>
    <row r="68" spans="1:14" ht="15" customHeight="1">
      <c r="B68" s="233">
        <f t="shared" ref="B68:K68" si="5">B66/$L$64</f>
        <v>4.1332405425930996E-3</v>
      </c>
      <c r="C68" s="233">
        <f t="shared" si="5"/>
        <v>0</v>
      </c>
      <c r="D68" s="233">
        <f t="shared" si="5"/>
        <v>1.4032125568969409E-5</v>
      </c>
      <c r="E68" s="233">
        <f t="shared" si="5"/>
        <v>2.4796791079559073E-2</v>
      </c>
      <c r="F68" s="233">
        <f t="shared" si="5"/>
        <v>4.2991241963788278E-2</v>
      </c>
      <c r="G68" s="233">
        <f t="shared" si="5"/>
        <v>6.885434202273763E-2</v>
      </c>
      <c r="H68" s="233">
        <f t="shared" si="5"/>
        <v>0.33220577457116673</v>
      </c>
      <c r="I68" s="233">
        <f t="shared" si="5"/>
        <v>2.4946001011501171E-4</v>
      </c>
      <c r="J68" s="233">
        <f t="shared" si="5"/>
        <v>4.6925674620359355E-2</v>
      </c>
      <c r="K68" s="233">
        <f t="shared" si="5"/>
        <v>8.8183852061817936E-3</v>
      </c>
      <c r="N68" s="163"/>
    </row>
    <row r="69" spans="1:14" ht="15" customHeight="1">
      <c r="B69" s="246"/>
      <c r="C69" s="246"/>
      <c r="D69" s="246"/>
      <c r="E69" s="246"/>
      <c r="F69" s="246"/>
      <c r="G69" s="246"/>
      <c r="H69" s="246"/>
      <c r="I69" s="246"/>
      <c r="J69" s="246"/>
      <c r="K69" s="246"/>
      <c r="L69" s="247"/>
      <c r="M69" s="248"/>
    </row>
    <row r="70" spans="1:14" ht="15" customHeight="1">
      <c r="B70" s="246"/>
      <c r="C70" s="246"/>
      <c r="D70" s="246"/>
      <c r="E70" s="246"/>
      <c r="F70" s="246"/>
      <c r="G70" s="246"/>
      <c r="H70" s="246"/>
      <c r="I70" s="246"/>
      <c r="J70" s="246"/>
      <c r="K70" s="246"/>
    </row>
    <row r="71" spans="1:14" ht="15" customHeight="1"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7"/>
    </row>
    <row r="72" spans="1:14" ht="15" customHeight="1"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7"/>
    </row>
  </sheetData>
  <conditionalFormatting sqref="B29:K30">
    <cfRule type="cellIs" dxfId="38" priority="16" operator="equal">
      <formula>0</formula>
    </cfRule>
  </conditionalFormatting>
  <conditionalFormatting sqref="B44:K45">
    <cfRule type="cellIs" dxfId="37" priority="1" operator="equal">
      <formula>0</formula>
    </cfRule>
  </conditionalFormatting>
  <conditionalFormatting sqref="B19:L20 B38:K38">
    <cfRule type="cellIs" dxfId="36" priority="18" operator="equal">
      <formula>0</formula>
    </cfRule>
  </conditionalFormatting>
  <conditionalFormatting sqref="B22:L23">
    <cfRule type="cellIs" dxfId="35" priority="11" operator="equal">
      <formula>0</formula>
    </cfRule>
  </conditionalFormatting>
  <conditionalFormatting sqref="B25:L27">
    <cfRule type="cellIs" dxfId="34" priority="14" operator="equal">
      <formula>0</formula>
    </cfRule>
  </conditionalFormatting>
  <conditionalFormatting sqref="B54:L55">
    <cfRule type="cellIs" dxfId="33" priority="7" operator="equal">
      <formula>0</formula>
    </cfRule>
  </conditionalFormatting>
  <conditionalFormatting sqref="B57:L58">
    <cfRule type="cellIs" dxfId="32" priority="6" operator="equal">
      <formula>0</formula>
    </cfRule>
  </conditionalFormatting>
  <conditionalFormatting sqref="B60:L61">
    <cfRule type="cellIs" dxfId="31" priority="5" operator="equal">
      <formula>0</formula>
    </cfRule>
  </conditionalFormatting>
  <conditionalFormatting sqref="B65:L66">
    <cfRule type="cellIs" dxfId="30" priority="3" operator="equal">
      <formula>0</formula>
    </cfRule>
  </conditionalFormatting>
  <conditionalFormatting sqref="L51">
    <cfRule type="cellIs" dxfId="29" priority="2" stopIfTrue="1" operator="notEqual">
      <formula>$M$51</formula>
    </cfRule>
  </conditionalFormatting>
  <conditionalFormatting sqref="M51">
    <cfRule type="cellIs" dxfId="28" priority="8" stopIfTrue="1" operator="notEqual">
      <formula>$L$51</formula>
    </cfRule>
  </conditionalFormatting>
  <conditionalFormatting sqref="N12:N13">
    <cfRule type="cellIs" dxfId="27" priority="10" stopIfTrue="1" operator="notEqual">
      <formula>8760</formula>
    </cfRule>
  </conditionalFormatting>
  <conditionalFormatting sqref="N14">
    <cfRule type="cellIs" dxfId="26" priority="9" stopIfTrue="1" operator="notEqual">
      <formula>1</formula>
    </cfRule>
  </conditionalFormatting>
  <printOptions horizontalCentered="1"/>
  <pageMargins left="0.39370078740157483" right="0.39370078740157483" top="0.98425196850393704" bottom="0.39370078740157483" header="0.59055118110236227" footer="0.31496062992125984"/>
  <pageSetup paperSize="9" scale="76" orientation="portrait" r:id="rId1"/>
  <headerFooter>
    <oddHeader>&amp;C&amp;Z&amp;F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F2D25-C7E2-45C8-B844-E5D1249FBAA2}">
  <sheetPr>
    <pageSetUpPr fitToPage="1"/>
  </sheetPr>
  <dimension ref="A1:N72"/>
  <sheetViews>
    <sheetView topLeftCell="A20" zoomScale="85" zoomScaleNormal="85" workbookViewId="0">
      <selection activeCell="B29" sqref="B29"/>
    </sheetView>
  </sheetViews>
  <sheetFormatPr baseColWidth="10" defaultColWidth="10.7109375" defaultRowHeight="15" customHeight="1"/>
  <cols>
    <col min="1" max="1" width="12.7109375" style="94" customWidth="1"/>
    <col min="2" max="256" width="10.7109375" style="94"/>
    <col min="257" max="257" width="12.7109375" style="94" customWidth="1"/>
    <col min="258" max="512" width="10.7109375" style="94"/>
    <col min="513" max="513" width="12.7109375" style="94" customWidth="1"/>
    <col min="514" max="768" width="10.7109375" style="94"/>
    <col min="769" max="769" width="12.7109375" style="94" customWidth="1"/>
    <col min="770" max="1024" width="10.7109375" style="94"/>
    <col min="1025" max="1025" width="12.7109375" style="94" customWidth="1"/>
    <col min="1026" max="1280" width="10.7109375" style="94"/>
    <col min="1281" max="1281" width="12.7109375" style="94" customWidth="1"/>
    <col min="1282" max="1536" width="10.7109375" style="94"/>
    <col min="1537" max="1537" width="12.7109375" style="94" customWidth="1"/>
    <col min="1538" max="1792" width="10.7109375" style="94"/>
    <col min="1793" max="1793" width="12.7109375" style="94" customWidth="1"/>
    <col min="1794" max="2048" width="10.7109375" style="94"/>
    <col min="2049" max="2049" width="12.7109375" style="94" customWidth="1"/>
    <col min="2050" max="2304" width="10.7109375" style="94"/>
    <col min="2305" max="2305" width="12.7109375" style="94" customWidth="1"/>
    <col min="2306" max="2560" width="10.7109375" style="94"/>
    <col min="2561" max="2561" width="12.7109375" style="94" customWidth="1"/>
    <col min="2562" max="2816" width="10.7109375" style="94"/>
    <col min="2817" max="2817" width="12.7109375" style="94" customWidth="1"/>
    <col min="2818" max="3072" width="10.7109375" style="94"/>
    <col min="3073" max="3073" width="12.7109375" style="94" customWidth="1"/>
    <col min="3074" max="3328" width="10.7109375" style="94"/>
    <col min="3329" max="3329" width="12.7109375" style="94" customWidth="1"/>
    <col min="3330" max="3584" width="10.7109375" style="94"/>
    <col min="3585" max="3585" width="12.7109375" style="94" customWidth="1"/>
    <col min="3586" max="3840" width="10.7109375" style="94"/>
    <col min="3841" max="3841" width="12.7109375" style="94" customWidth="1"/>
    <col min="3842" max="4096" width="10.7109375" style="94"/>
    <col min="4097" max="4097" width="12.7109375" style="94" customWidth="1"/>
    <col min="4098" max="4352" width="10.7109375" style="94"/>
    <col min="4353" max="4353" width="12.7109375" style="94" customWidth="1"/>
    <col min="4354" max="4608" width="10.7109375" style="94"/>
    <col min="4609" max="4609" width="12.7109375" style="94" customWidth="1"/>
    <col min="4610" max="4864" width="10.7109375" style="94"/>
    <col min="4865" max="4865" width="12.7109375" style="94" customWidth="1"/>
    <col min="4866" max="5120" width="10.7109375" style="94"/>
    <col min="5121" max="5121" width="12.7109375" style="94" customWidth="1"/>
    <col min="5122" max="5376" width="10.7109375" style="94"/>
    <col min="5377" max="5377" width="12.7109375" style="94" customWidth="1"/>
    <col min="5378" max="5632" width="10.7109375" style="94"/>
    <col min="5633" max="5633" width="12.7109375" style="94" customWidth="1"/>
    <col min="5634" max="5888" width="10.7109375" style="94"/>
    <col min="5889" max="5889" width="12.7109375" style="94" customWidth="1"/>
    <col min="5890" max="6144" width="10.7109375" style="94"/>
    <col min="6145" max="6145" width="12.7109375" style="94" customWidth="1"/>
    <col min="6146" max="6400" width="10.7109375" style="94"/>
    <col min="6401" max="6401" width="12.7109375" style="94" customWidth="1"/>
    <col min="6402" max="6656" width="10.7109375" style="94"/>
    <col min="6657" max="6657" width="12.7109375" style="94" customWidth="1"/>
    <col min="6658" max="6912" width="10.7109375" style="94"/>
    <col min="6913" max="6913" width="12.7109375" style="94" customWidth="1"/>
    <col min="6914" max="7168" width="10.7109375" style="94"/>
    <col min="7169" max="7169" width="12.7109375" style="94" customWidth="1"/>
    <col min="7170" max="7424" width="10.7109375" style="94"/>
    <col min="7425" max="7425" width="12.7109375" style="94" customWidth="1"/>
    <col min="7426" max="7680" width="10.7109375" style="94"/>
    <col min="7681" max="7681" width="12.7109375" style="94" customWidth="1"/>
    <col min="7682" max="7936" width="10.7109375" style="94"/>
    <col min="7937" max="7937" width="12.7109375" style="94" customWidth="1"/>
    <col min="7938" max="8192" width="10.7109375" style="94"/>
    <col min="8193" max="8193" width="12.7109375" style="94" customWidth="1"/>
    <col min="8194" max="8448" width="10.7109375" style="94"/>
    <col min="8449" max="8449" width="12.7109375" style="94" customWidth="1"/>
    <col min="8450" max="8704" width="10.7109375" style="94"/>
    <col min="8705" max="8705" width="12.7109375" style="94" customWidth="1"/>
    <col min="8706" max="8960" width="10.7109375" style="94"/>
    <col min="8961" max="8961" width="12.7109375" style="94" customWidth="1"/>
    <col min="8962" max="9216" width="10.7109375" style="94"/>
    <col min="9217" max="9217" width="12.7109375" style="94" customWidth="1"/>
    <col min="9218" max="9472" width="10.7109375" style="94"/>
    <col min="9473" max="9473" width="12.7109375" style="94" customWidth="1"/>
    <col min="9474" max="9728" width="10.7109375" style="94"/>
    <col min="9729" max="9729" width="12.7109375" style="94" customWidth="1"/>
    <col min="9730" max="9984" width="10.7109375" style="94"/>
    <col min="9985" max="9985" width="12.7109375" style="94" customWidth="1"/>
    <col min="9986" max="10240" width="10.7109375" style="94"/>
    <col min="10241" max="10241" width="12.7109375" style="94" customWidth="1"/>
    <col min="10242" max="10496" width="10.7109375" style="94"/>
    <col min="10497" max="10497" width="12.7109375" style="94" customWidth="1"/>
    <col min="10498" max="10752" width="10.7109375" style="94"/>
    <col min="10753" max="10753" width="12.7109375" style="94" customWidth="1"/>
    <col min="10754" max="11008" width="10.7109375" style="94"/>
    <col min="11009" max="11009" width="12.7109375" style="94" customWidth="1"/>
    <col min="11010" max="11264" width="10.7109375" style="94"/>
    <col min="11265" max="11265" width="12.7109375" style="94" customWidth="1"/>
    <col min="11266" max="11520" width="10.7109375" style="94"/>
    <col min="11521" max="11521" width="12.7109375" style="94" customWidth="1"/>
    <col min="11522" max="11776" width="10.7109375" style="94"/>
    <col min="11777" max="11777" width="12.7109375" style="94" customWidth="1"/>
    <col min="11778" max="12032" width="10.7109375" style="94"/>
    <col min="12033" max="12033" width="12.7109375" style="94" customWidth="1"/>
    <col min="12034" max="12288" width="10.7109375" style="94"/>
    <col min="12289" max="12289" width="12.7109375" style="94" customWidth="1"/>
    <col min="12290" max="12544" width="10.7109375" style="94"/>
    <col min="12545" max="12545" width="12.7109375" style="94" customWidth="1"/>
    <col min="12546" max="12800" width="10.7109375" style="94"/>
    <col min="12801" max="12801" width="12.7109375" style="94" customWidth="1"/>
    <col min="12802" max="13056" width="10.7109375" style="94"/>
    <col min="13057" max="13057" width="12.7109375" style="94" customWidth="1"/>
    <col min="13058" max="13312" width="10.7109375" style="94"/>
    <col min="13313" max="13313" width="12.7109375" style="94" customWidth="1"/>
    <col min="13314" max="13568" width="10.7109375" style="94"/>
    <col min="13569" max="13569" width="12.7109375" style="94" customWidth="1"/>
    <col min="13570" max="13824" width="10.7109375" style="94"/>
    <col min="13825" max="13825" width="12.7109375" style="94" customWidth="1"/>
    <col min="13826" max="14080" width="10.7109375" style="94"/>
    <col min="14081" max="14081" width="12.7109375" style="94" customWidth="1"/>
    <col min="14082" max="14336" width="10.7109375" style="94"/>
    <col min="14337" max="14337" width="12.7109375" style="94" customWidth="1"/>
    <col min="14338" max="14592" width="10.7109375" style="94"/>
    <col min="14593" max="14593" width="12.7109375" style="94" customWidth="1"/>
    <col min="14594" max="14848" width="10.7109375" style="94"/>
    <col min="14849" max="14849" width="12.7109375" style="94" customWidth="1"/>
    <col min="14850" max="15104" width="10.7109375" style="94"/>
    <col min="15105" max="15105" width="12.7109375" style="94" customWidth="1"/>
    <col min="15106" max="15360" width="10.7109375" style="94"/>
    <col min="15361" max="15361" width="12.7109375" style="94" customWidth="1"/>
    <col min="15362" max="15616" width="10.7109375" style="94"/>
    <col min="15617" max="15617" width="12.7109375" style="94" customWidth="1"/>
    <col min="15618" max="15872" width="10.7109375" style="94"/>
    <col min="15873" max="15873" width="12.7109375" style="94" customWidth="1"/>
    <col min="15874" max="16128" width="10.7109375" style="94"/>
    <col min="16129" max="16129" width="12.7109375" style="94" customWidth="1"/>
    <col min="16130" max="16384" width="10.7109375" style="94"/>
  </cols>
  <sheetData>
    <row r="1" spans="1:14" ht="22.15" customHeight="1">
      <c r="A1" s="92" t="s">
        <v>0</v>
      </c>
      <c r="B1" s="93">
        <f>[19]Input!B1</f>
        <v>3</v>
      </c>
      <c r="C1" s="93" t="str">
        <f>[19]Input!C1</f>
        <v>2027-2028</v>
      </c>
    </row>
    <row r="2" spans="1:14" ht="15" customHeight="1">
      <c r="A2" s="95"/>
      <c r="B2" s="96" t="s">
        <v>2</v>
      </c>
      <c r="C2" s="97"/>
      <c r="D2" s="96" t="s">
        <v>3</v>
      </c>
      <c r="E2" s="98"/>
      <c r="F2" s="99" t="s">
        <v>69</v>
      </c>
    </row>
    <row r="3" spans="1:14" ht="15" customHeight="1">
      <c r="A3" s="100" t="s">
        <v>5</v>
      </c>
      <c r="B3" s="101">
        <f>[19]Input!B3</f>
        <v>127459.10075543809</v>
      </c>
      <c r="C3" s="102">
        <f>C4+C5</f>
        <v>1</v>
      </c>
      <c r="D3" s="103">
        <f>[19]Input!D3</f>
        <v>3865.329999999999</v>
      </c>
      <c r="E3" s="102">
        <f>E4+E5</f>
        <v>1</v>
      </c>
      <c r="F3" s="104" t="s">
        <v>6</v>
      </c>
      <c r="H3" s="105" t="s">
        <v>9</v>
      </c>
      <c r="I3" s="106">
        <v>0.45</v>
      </c>
      <c r="J3" s="107">
        <f>I3*B3</f>
        <v>57356.59533994714</v>
      </c>
      <c r="K3" s="108" t="s">
        <v>8</v>
      </c>
      <c r="L3" s="109">
        <f>L54+L57</f>
        <v>60141.587985228456</v>
      </c>
      <c r="M3" s="110">
        <f>L3/(L4+L3)</f>
        <v>0.47185008860718358</v>
      </c>
    </row>
    <row r="4" spans="1:14" ht="15" customHeight="1">
      <c r="A4" s="111" t="s">
        <v>10</v>
      </c>
      <c r="B4" s="112">
        <f>[19]Input!B4</f>
        <v>109009.39511412424</v>
      </c>
      <c r="C4" s="113">
        <f>B4/B3</f>
        <v>0.85524999366883825</v>
      </c>
      <c r="D4" s="114">
        <f>[19]Input!D4</f>
        <v>3590.5699999999988</v>
      </c>
      <c r="E4" s="113">
        <f>D4/D3</f>
        <v>0.92891680658572484</v>
      </c>
      <c r="F4" s="115">
        <f>[19]Input!F4</f>
        <v>30.359913638816199</v>
      </c>
      <c r="H4" s="105" t="s">
        <v>11</v>
      </c>
      <c r="I4" s="106">
        <v>0.55000000000000004</v>
      </c>
      <c r="J4" s="107">
        <f>I4*B3</f>
        <v>70102.505415490959</v>
      </c>
      <c r="K4" s="108" t="s">
        <v>8</v>
      </c>
      <c r="L4" s="109">
        <f>L55+L58</f>
        <v>67317.512770173722</v>
      </c>
      <c r="M4" s="110">
        <f>L4/(L3+L4)</f>
        <v>0.52814991139281642</v>
      </c>
    </row>
    <row r="5" spans="1:14" ht="15" customHeight="1">
      <c r="A5" s="116" t="s">
        <v>12</v>
      </c>
      <c r="B5" s="117">
        <f>[19]Input!B5</f>
        <v>18449.705641313849</v>
      </c>
      <c r="C5" s="118">
        <f>B5/B3</f>
        <v>0.14475000633116175</v>
      </c>
      <c r="D5" s="119">
        <f>[19]Input!D5</f>
        <v>274.76000000000005</v>
      </c>
      <c r="E5" s="118">
        <f>D5/D3</f>
        <v>7.1083193414275131E-2</v>
      </c>
      <c r="F5" s="120">
        <f>[19]Input!F5</f>
        <v>67.148440971443605</v>
      </c>
    </row>
    <row r="6" spans="1:14" ht="15" customHeight="1">
      <c r="B6" s="121"/>
    </row>
    <row r="7" spans="1:14" ht="15" customHeight="1">
      <c r="A7" s="92" t="s">
        <v>70</v>
      </c>
      <c r="B7" s="101">
        <f>[19]Input!B7</f>
        <v>0</v>
      </c>
      <c r="C7" s="102">
        <f>[19]Input!C7</f>
        <v>1</v>
      </c>
      <c r="D7" s="103">
        <f>[19]Input!D7</f>
        <v>0</v>
      </c>
      <c r="E7" s="102">
        <f>[19]Input!E7</f>
        <v>1</v>
      </c>
      <c r="F7" s="122">
        <f>[19]Input!F7</f>
        <v>0</v>
      </c>
      <c r="G7" s="94" t="str">
        <f>[19]Input!G7</f>
        <v>(230 kV)</v>
      </c>
    </row>
    <row r="9" spans="1:14" ht="15" customHeight="1">
      <c r="A9" s="123" t="s">
        <v>71</v>
      </c>
      <c r="B9" s="124" t="s">
        <v>72</v>
      </c>
      <c r="C9" s="125" t="s">
        <v>73</v>
      </c>
      <c r="D9" s="125" t="s">
        <v>74</v>
      </c>
      <c r="E9" s="125" t="s">
        <v>75</v>
      </c>
      <c r="F9" s="125" t="s">
        <v>76</v>
      </c>
      <c r="G9" s="125" t="s">
        <v>77</v>
      </c>
      <c r="H9" s="126" t="s">
        <v>78</v>
      </c>
      <c r="I9" s="126" t="s">
        <v>79</v>
      </c>
      <c r="J9" s="126" t="s">
        <v>80</v>
      </c>
      <c r="K9" s="126" t="s">
        <v>81</v>
      </c>
      <c r="L9" s="126" t="s">
        <v>82</v>
      </c>
      <c r="M9" s="127" t="s">
        <v>83</v>
      </c>
    </row>
    <row r="10" spans="1:14" ht="15" customHeight="1">
      <c r="A10" s="128"/>
      <c r="B10" s="129" t="s">
        <v>84</v>
      </c>
      <c r="C10" s="130" t="s">
        <v>85</v>
      </c>
      <c r="D10" s="130" t="s">
        <v>86</v>
      </c>
      <c r="E10" s="130" t="s">
        <v>87</v>
      </c>
      <c r="F10" s="130" t="s">
        <v>88</v>
      </c>
      <c r="G10" s="130" t="s">
        <v>89</v>
      </c>
      <c r="H10" s="130" t="s">
        <v>90</v>
      </c>
      <c r="I10" s="130" t="s">
        <v>91</v>
      </c>
      <c r="J10" s="130" t="s">
        <v>92</v>
      </c>
      <c r="K10" s="130" t="s">
        <v>93</v>
      </c>
      <c r="L10" s="130" t="s">
        <v>94</v>
      </c>
      <c r="M10" s="131" t="s">
        <v>95</v>
      </c>
    </row>
    <row r="11" spans="1:14" ht="15" customHeight="1">
      <c r="A11" s="123" t="s">
        <v>96</v>
      </c>
      <c r="B11" s="124" t="s">
        <v>97</v>
      </c>
      <c r="C11" s="125" t="s">
        <v>97</v>
      </c>
      <c r="D11" s="125" t="s">
        <v>97</v>
      </c>
      <c r="E11" s="125" t="s">
        <v>97</v>
      </c>
      <c r="F11" s="125" t="s">
        <v>97</v>
      </c>
      <c r="G11" s="125" t="s">
        <v>97</v>
      </c>
      <c r="H11" s="126" t="s">
        <v>98</v>
      </c>
      <c r="I11" s="126" t="s">
        <v>98</v>
      </c>
      <c r="J11" s="126" t="s">
        <v>98</v>
      </c>
      <c r="K11" s="126" t="s">
        <v>98</v>
      </c>
      <c r="L11" s="126" t="s">
        <v>98</v>
      </c>
      <c r="M11" s="127" t="s">
        <v>97</v>
      </c>
    </row>
    <row r="12" spans="1:14" ht="15" customHeight="1">
      <c r="A12" s="132">
        <f>SUM(B12:M12)</f>
        <v>8784</v>
      </c>
      <c r="B12" s="133">
        <f>24*31</f>
        <v>744</v>
      </c>
      <c r="C12" s="134">
        <f>24*31</f>
        <v>744</v>
      </c>
      <c r="D12" s="134">
        <f>24*30</f>
        <v>720</v>
      </c>
      <c r="E12" s="134">
        <f>24*31</f>
        <v>744</v>
      </c>
      <c r="F12" s="134">
        <f>24*30</f>
        <v>720</v>
      </c>
      <c r="G12" s="134">
        <f>24*31</f>
        <v>744</v>
      </c>
      <c r="H12" s="134">
        <f>24*31</f>
        <v>744</v>
      </c>
      <c r="I12" s="134">
        <f>24*29</f>
        <v>696</v>
      </c>
      <c r="J12" s="134">
        <f>24*31</f>
        <v>744</v>
      </c>
      <c r="K12" s="134">
        <f>24*30</f>
        <v>720</v>
      </c>
      <c r="L12" s="134">
        <f>24*31</f>
        <v>744</v>
      </c>
      <c r="M12" s="135">
        <f>24*30</f>
        <v>720</v>
      </c>
      <c r="N12" s="136">
        <f>SUM(B12:M12)</f>
        <v>8784</v>
      </c>
    </row>
    <row r="13" spans="1:14" ht="15" customHeight="1">
      <c r="A13" s="137" t="s">
        <v>99</v>
      </c>
      <c r="B13" s="111">
        <f>[23]M01!$H$13</f>
        <v>744</v>
      </c>
      <c r="C13" s="94">
        <f>[23]M02!$H$13</f>
        <v>744</v>
      </c>
      <c r="D13" s="94">
        <f>[23]M03!$H$13</f>
        <v>720</v>
      </c>
      <c r="E13" s="94">
        <f>[23]M04!$H$13</f>
        <v>744</v>
      </c>
      <c r="F13" s="94">
        <f>[23]M05!$H$13</f>
        <v>720</v>
      </c>
      <c r="G13" s="94">
        <f>[23]M06!$H$13</f>
        <v>744</v>
      </c>
      <c r="H13" s="94">
        <f>[23]M07!$H$13</f>
        <v>744</v>
      </c>
      <c r="I13" s="94">
        <f>[23]M08!$H$13</f>
        <v>696</v>
      </c>
      <c r="J13" s="94">
        <f>[23]M09!$H$13</f>
        <v>744</v>
      </c>
      <c r="K13" s="94">
        <f>[23]M10!$H$13</f>
        <v>720</v>
      </c>
      <c r="L13" s="94">
        <f>[23]M11!$H$13</f>
        <v>744</v>
      </c>
      <c r="M13" s="138">
        <f>[23]M12!$H$13</f>
        <v>720</v>
      </c>
      <c r="N13" s="136">
        <f>SUM(B13:M13)</f>
        <v>8784</v>
      </c>
    </row>
    <row r="14" spans="1:14" ht="15" customHeight="1">
      <c r="A14" s="128" t="s">
        <v>100</v>
      </c>
      <c r="B14" s="139">
        <f>[23]M01!$I$13</f>
        <v>8.4699453551912565E-2</v>
      </c>
      <c r="C14" s="140">
        <f>[23]M02!$I$13</f>
        <v>8.4699453551912565E-2</v>
      </c>
      <c r="D14" s="140">
        <f>[23]M03!$I$13</f>
        <v>8.1967213114754106E-2</v>
      </c>
      <c r="E14" s="140">
        <f>[23]M04!$I$13</f>
        <v>8.4699453551912565E-2</v>
      </c>
      <c r="F14" s="140">
        <f>[23]M05!$I$13</f>
        <v>8.1967213114754092E-2</v>
      </c>
      <c r="G14" s="140">
        <f>[23]M06!$I$13</f>
        <v>8.4699453551912579E-2</v>
      </c>
      <c r="H14" s="140">
        <f>[23]M07!$I$13</f>
        <v>8.4699453551912579E-2</v>
      </c>
      <c r="I14" s="140">
        <f>[23]M08!$I$13</f>
        <v>7.9234972677595619E-2</v>
      </c>
      <c r="J14" s="140">
        <f>[23]M09!$I$13</f>
        <v>8.4699453551912565E-2</v>
      </c>
      <c r="K14" s="140">
        <f>[23]M10!$I$13</f>
        <v>8.1967213114754106E-2</v>
      </c>
      <c r="L14" s="140">
        <f>[23]M11!$I$13</f>
        <v>8.4699453551912565E-2</v>
      </c>
      <c r="M14" s="141">
        <f>[23]M12!$I$13</f>
        <v>8.1967213114754092E-2</v>
      </c>
      <c r="N14" s="142">
        <f>SUM(B14:M14)</f>
        <v>0.99999999999999989</v>
      </c>
    </row>
    <row r="16" spans="1:14" ht="20.25" customHeight="1">
      <c r="A16" s="143" t="s">
        <v>25</v>
      </c>
      <c r="B16" s="144">
        <v>1</v>
      </c>
      <c r="C16" s="144">
        <v>2</v>
      </c>
      <c r="D16" s="144">
        <v>3</v>
      </c>
      <c r="E16" s="144">
        <v>4</v>
      </c>
      <c r="F16" s="144">
        <v>5</v>
      </c>
      <c r="G16" s="144">
        <v>6</v>
      </c>
      <c r="H16" s="144">
        <v>7</v>
      </c>
      <c r="I16" s="144">
        <v>8</v>
      </c>
      <c r="J16" s="144">
        <v>9</v>
      </c>
      <c r="K16" s="145">
        <v>10</v>
      </c>
      <c r="L16" s="146" t="s">
        <v>20</v>
      </c>
    </row>
    <row r="17" spans="1:14" ht="25.15" customHeight="1">
      <c r="A17" s="147" t="s">
        <v>101</v>
      </c>
      <c r="B17" s="148" t="s">
        <v>102</v>
      </c>
      <c r="C17" s="148" t="s">
        <v>103</v>
      </c>
      <c r="D17" s="148" t="s">
        <v>104</v>
      </c>
      <c r="E17" s="148" t="s">
        <v>105</v>
      </c>
      <c r="F17" s="148" t="s">
        <v>106</v>
      </c>
      <c r="G17" s="148" t="s">
        <v>107</v>
      </c>
      <c r="H17" s="148" t="s">
        <v>108</v>
      </c>
      <c r="I17" s="148" t="s">
        <v>109</v>
      </c>
      <c r="J17" s="148" t="s">
        <v>110</v>
      </c>
      <c r="K17" s="149" t="s">
        <v>111</v>
      </c>
      <c r="L17" s="150"/>
    </row>
    <row r="18" spans="1:14" ht="20.25" customHeight="1">
      <c r="A18" s="151" t="s">
        <v>112</v>
      </c>
      <c r="L18" s="152"/>
    </row>
    <row r="19" spans="1:14" ht="15" customHeight="1">
      <c r="A19" s="123" t="s">
        <v>113</v>
      </c>
      <c r="B19" s="153">
        <f>[19]Input!B11</f>
        <v>381.78000000000003</v>
      </c>
      <c r="C19" s="154">
        <f>[19]Input!C11</f>
        <v>548.68000000000006</v>
      </c>
      <c r="D19" s="154">
        <f>[19]Input!D11</f>
        <v>194.10000000000005</v>
      </c>
      <c r="E19" s="154">
        <f>[19]Input!E11</f>
        <v>794.84999999999968</v>
      </c>
      <c r="F19" s="154">
        <f>[19]Input!F11</f>
        <v>806.46999999999991</v>
      </c>
      <c r="G19" s="154">
        <f>[19]Input!G11</f>
        <v>451.46</v>
      </c>
      <c r="H19" s="154">
        <f>[19]Input!H11</f>
        <v>153.13999999999999</v>
      </c>
      <c r="I19" s="154">
        <f>[19]Input!I11</f>
        <v>260</v>
      </c>
      <c r="J19" s="154">
        <f>[19]Input!J11</f>
        <v>1376.25</v>
      </c>
      <c r="K19" s="155">
        <f>[19]Input!K11</f>
        <v>254.8</v>
      </c>
      <c r="L19" s="156">
        <f>SUM(B19:K19)</f>
        <v>5221.53</v>
      </c>
    </row>
    <row r="20" spans="1:14" ht="15" customHeight="1">
      <c r="A20" s="128" t="s">
        <v>22</v>
      </c>
      <c r="B20" s="157">
        <f>[19]Input!B12</f>
        <v>27.68</v>
      </c>
      <c r="C20" s="158">
        <f>[19]Input!C12</f>
        <v>0</v>
      </c>
      <c r="D20" s="158">
        <f>[19]Input!D12</f>
        <v>0.09</v>
      </c>
      <c r="E20" s="158">
        <f>[19]Input!E12</f>
        <v>142.41</v>
      </c>
      <c r="F20" s="158">
        <f>[19]Input!F12</f>
        <v>224.80253899660923</v>
      </c>
      <c r="G20" s="158">
        <f>[19]Input!G12</f>
        <v>286.99</v>
      </c>
      <c r="H20" s="158">
        <f>[19]Input!H12</f>
        <v>1066.42</v>
      </c>
      <c r="I20" s="158">
        <f>[19]Input!I12</f>
        <v>1.7</v>
      </c>
      <c r="J20" s="158">
        <f>[19]Input!J12</f>
        <v>153.85</v>
      </c>
      <c r="K20" s="159">
        <f>[19]Input!K12</f>
        <v>56.870000000000005</v>
      </c>
      <c r="L20" s="160">
        <f>SUM(B20:K20)</f>
        <v>1960.8125389966094</v>
      </c>
    </row>
    <row r="21" spans="1:14" ht="20.25" customHeight="1">
      <c r="A21" s="151" t="s">
        <v>114</v>
      </c>
      <c r="L21" s="152"/>
    </row>
    <row r="22" spans="1:14" ht="15" customHeight="1">
      <c r="A22" s="123" t="s">
        <v>115</v>
      </c>
      <c r="B22" s="153">
        <f>SUM([23]M01!B21*$B$14,[23]M02!B21*$C$14,[23]M03!B21*$D$14,[23]M04!B21*$E$14,[23]M05!B21*$F$14,[23]M06!B21*$G$14,[23]M07!B21*$H$14,[23]M08!B21*$I$14,[23]M09!B21*$J$14,[23]M10!B21*$K$14,[23]M11!B21*$L$14,[23]M12!B21*$M$14)/$N$14</f>
        <v>137.28996470856106</v>
      </c>
      <c r="C22" s="154">
        <f>SUM([23]M01!C21*$B$14,[23]M02!C21*$C$14,[23]M03!C21*$D$14,[23]M04!C21*$E$14,[23]M05!C21*$F$14,[23]M06!C21*$G$14,[23]M07!C21*$H$14,[23]M08!C21*$I$14,[23]M09!C21*$J$14,[23]M10!C21*$K$14,[23]M11!C21*$L$14,[23]M12!C21*$M$14)/$N$14</f>
        <v>186.75051798724959</v>
      </c>
      <c r="D22" s="154">
        <f>SUM([23]M01!D21*$B$14,[23]M02!D21*$C$14,[23]M03!D21*$D$14,[23]M04!D21*$E$14,[23]M05!D21*$F$14,[23]M06!D21*$G$14,[23]M07!D21*$H$14,[23]M08!D21*$I$14,[23]M09!D21*$J$14,[23]M10!D21*$K$14,[23]M11!D21*$L$14,[23]M12!D21*$M$14)/$N$14</f>
        <v>96.45741120218581</v>
      </c>
      <c r="E22" s="154">
        <f>SUM([23]M01!E21*$B$14,[23]M02!E21*$C$14,[23]M03!E21*$D$14,[23]M04!E21*$E$14,[23]M05!E21*$F$14,[23]M06!E21*$G$14,[23]M07!E21*$H$14,[23]M08!E21*$I$14,[23]M09!E21*$J$14,[23]M10!E21*$K$14,[23]M11!E21*$L$14,[23]M12!E21*$M$14)/$N$14</f>
        <v>412.66445810564676</v>
      </c>
      <c r="F22" s="154">
        <f>SUM([23]M01!F21*$B$14,[23]M02!F21*$C$14,[23]M03!F21*$D$14,[23]M04!F21*$E$14,[23]M05!F21*$F$14,[23]M06!F21*$G$14,[23]M07!F21*$H$14,[23]M08!F21*$I$14,[23]M09!F21*$J$14,[23]M10!F21*$K$14,[23]M11!F21*$L$14,[23]M12!F21*$M$14)/$N$14</f>
        <v>290.39487135701285</v>
      </c>
      <c r="G22" s="154">
        <f>SUM([23]M01!G21*$B$14,[23]M02!G21*$C$14,[23]M03!G21*$D$14,[23]M04!G21*$E$14,[23]M05!G21*$F$14,[23]M06!G21*$G$14,[23]M07!G21*$H$14,[23]M08!G21*$I$14,[23]M09!G21*$J$14,[23]M10!G21*$K$14,[23]M11!G21*$L$14,[23]M12!G21*$M$14)/$N$14</f>
        <v>115.46458333333337</v>
      </c>
      <c r="H22" s="154">
        <f>SUM([23]M01!H21*$B$14,[23]M02!H21*$C$14,[23]M03!H21*$D$14,[23]M04!H21*$E$14,[23]M05!H21*$F$14,[23]M06!H21*$G$14,[23]M07!H21*$H$14,[23]M08!H21*$I$14,[23]M09!H21*$J$14,[23]M10!H21*$K$14,[23]M11!H21*$L$14,[23]M12!H21*$M$14)/$N$14</f>
        <v>1.1016165755919856</v>
      </c>
      <c r="I22" s="154">
        <f>SUM([23]M01!I21*$B$14,[23]M02!I21*$C$14,[23]M03!I21*$D$14,[23]M04!I21*$E$14,[23]M05!I21*$F$14,[23]M06!I21*$G$14,[23]M07!I21*$H$14,[23]M08!I21*$I$14,[23]M09!I21*$J$14,[23]M10!I21*$K$14,[23]M11!I21*$L$14,[23]M12!I21*$M$14)/$N$14</f>
        <v>39.068214936247728</v>
      </c>
      <c r="J22" s="154">
        <f>SUM([23]M01!J21*$B$14,[23]M02!J21*$C$14,[23]M03!J21*$D$14,[23]M04!J21*$E$14,[23]M05!J21*$F$14,[23]M06!J21*$G$14,[23]M07!J21*$H$14,[23]M08!J21*$I$14,[23]M09!J21*$J$14,[23]M10!J21*$K$14,[23]M11!J21*$L$14,[23]M12!J21*$M$14)/$N$14</f>
        <v>117.57587090163938</v>
      </c>
      <c r="K22" s="155">
        <f>SUM([23]M01!K21*$B$14,[23]M02!K21*$C$14,[23]M03!K21*$D$14,[23]M04!K21*$E$14,[23]M05!K21*$F$14,[23]M06!K21*$G$14,[23]M07!K21*$H$14,[23]M08!K21*$I$14,[23]M09!K21*$J$14,[23]M10!K21*$K$14,[23]M11!K21*$L$14,[23]M12!K21*$M$14)/$N$14</f>
        <v>126.64534949908925</v>
      </c>
      <c r="L22" s="156">
        <f>SUM(B22:K22)</f>
        <v>1523.4128586065578</v>
      </c>
    </row>
    <row r="23" spans="1:14" ht="15" customHeight="1">
      <c r="A23" s="128" t="s">
        <v>116</v>
      </c>
      <c r="B23" s="157">
        <f>SUM([23]M01!B22*$B$14,[23]M02!B22*$C$14,[23]M03!B22*$D$14,[23]M04!B22*$E$14,[23]M05!B22*$F$14,[23]M06!B22*$G$14,[23]M07!B22*$H$14,[23]M08!B22*$I$14,[23]M09!B22*$J$14,[23]M10!B22*$K$14,[23]M11!B22*$L$14,[23]M12!B22*$M$14)/$N$14</f>
        <v>12.528773907103828</v>
      </c>
      <c r="C23" s="158">
        <f>SUM([23]M01!C22*$B$14,[23]M02!C22*$C$14,[23]M03!C22*$D$14,[23]M04!C22*$E$14,[23]M05!C22*$F$14,[23]M06!C22*$G$14,[23]M07!C22*$H$14,[23]M08!C22*$I$14,[23]M09!C22*$J$14,[23]M10!C22*$K$14,[23]M11!C22*$L$14,[23]M12!C22*$M$14)/$N$14</f>
        <v>0</v>
      </c>
      <c r="D23" s="158">
        <f>SUM([23]M01!D22*$B$14,[23]M02!D22*$C$14,[23]M03!D22*$D$14,[23]M04!D22*$E$14,[23]M05!D22*$F$14,[23]M06!D22*$G$14,[23]M07!D22*$H$14,[23]M08!D22*$I$14,[23]M09!D22*$J$14,[23]M10!D22*$K$14,[23]M11!D22*$L$14,[23]M12!D22*$M$14)/$N$14</f>
        <v>6.9945355191256872E-2</v>
      </c>
      <c r="E23" s="158">
        <f>SUM([23]M01!E22*$B$14,[23]M02!E22*$C$14,[23]M03!E22*$D$14,[23]M04!E22*$E$14,[23]M05!E22*$F$14,[23]M06!E22*$G$14,[23]M07!E22*$H$14,[23]M08!E22*$I$14,[23]M09!E22*$J$14,[23]M10!E22*$K$14,[23]M11!E22*$L$14,[23]M12!E22*$M$14)/$N$14</f>
        <v>140.95125227686705</v>
      </c>
      <c r="F23" s="158">
        <f>SUM([23]M01!F22*$B$14,[23]M02!F22*$C$14,[23]M03!F22*$D$14,[23]M04!F22*$E$14,[23]M05!F22*$F$14,[23]M06!F22*$G$14,[23]M07!F22*$H$14,[23]M08!F22*$I$14,[23]M09!F22*$J$14,[23]M10!F22*$K$14,[23]M11!F22*$L$14,[23]M12!F22*$M$14)/$N$14</f>
        <v>45.420685336976334</v>
      </c>
      <c r="G23" s="158">
        <f>SUM([23]M01!G22*$B$14,[23]M02!G22*$C$14,[23]M03!G22*$D$14,[23]M04!G22*$E$14,[23]M05!G22*$F$14,[23]M06!G22*$G$14,[23]M07!G22*$H$14,[23]M08!G22*$I$14,[23]M09!G22*$J$14,[23]M10!G22*$K$14,[23]M11!G22*$L$14,[23]M12!G22*$M$14)/$N$14</f>
        <v>177.69008993624777</v>
      </c>
      <c r="H23" s="158">
        <f>SUM([23]M01!H22*$B$14,[23]M02!H22*$C$14,[23]M03!H22*$D$14,[23]M04!H22*$E$14,[23]M05!H22*$F$14,[23]M06!H22*$G$14,[23]M07!H22*$H$14,[23]M08!H22*$I$14,[23]M09!H22*$J$14,[23]M10!H22*$K$14,[23]M11!H22*$L$14,[23]M12!H22*$M$14)/$N$14</f>
        <v>1000.5640824225867</v>
      </c>
      <c r="I23" s="158">
        <f>SUM([23]M01!I22*$B$14,[23]M02!I22*$C$14,[23]M03!I22*$D$14,[23]M04!I22*$E$14,[23]M05!I22*$F$14,[23]M06!I22*$G$14,[23]M07!I22*$H$14,[23]M08!I22*$I$14,[23]M09!I22*$J$14,[23]M10!I22*$K$14,[23]M11!I22*$L$14,[23]M12!I22*$M$14)/$N$14</f>
        <v>0</v>
      </c>
      <c r="J23" s="158">
        <f>SUM([23]M01!J22*$B$14,[23]M02!J22*$C$14,[23]M03!J22*$D$14,[23]M04!J22*$E$14,[23]M05!J22*$F$14,[23]M06!J22*$G$14,[23]M07!J22*$H$14,[23]M08!J22*$I$14,[23]M09!J22*$J$14,[23]M10!J22*$K$14,[23]M11!J22*$L$14,[23]M12!J22*$M$14)/$N$14</f>
        <v>136.8704178051002</v>
      </c>
      <c r="K23" s="159">
        <f>SUM([23]M01!K22*$B$14,[23]M02!K22*$C$14,[23]M03!K22*$D$14,[23]M04!K22*$E$14,[23]M05!K22*$F$14,[23]M06!K22*$G$14,[23]M07!K22*$H$14,[23]M08!K22*$I$14,[23]M09!K22*$J$14,[23]M10!K22*$K$14,[23]M11!K22*$L$14,[23]M12!K22*$M$14)/$N$14</f>
        <v>9.5542805100182164</v>
      </c>
      <c r="L23" s="160">
        <f>SUM(B23:K23)</f>
        <v>1523.6495275500915</v>
      </c>
    </row>
    <row r="24" spans="1:14" ht="20.25" customHeight="1">
      <c r="A24" s="151" t="s">
        <v>117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152"/>
    </row>
    <row r="25" spans="1:14" ht="15" customHeight="1">
      <c r="A25" s="123" t="s">
        <v>118</v>
      </c>
      <c r="B25" s="153">
        <f>SUM([23]M01!B24,[23]M02!B24,[23]M03!B24,[23]M04!B24,[23]M05!B24,[23]M06!B24,[23]M07!B24,[23]M08!B24,[23]M09!B24,[23]M10!B24,[23]M11!B24,[23]M12!B24)</f>
        <v>1205.95505</v>
      </c>
      <c r="C25" s="154">
        <f>SUM([23]M01!C24,[23]M02!C24,[23]M03!C24,[23]M04!C24,[23]M05!C24,[23]M06!C24,[23]M07!C24,[23]M08!C24,[23]M09!C24,[23]M10!C24,[23]M11!C24,[23]M12!C24)</f>
        <v>1640.4165499999999</v>
      </c>
      <c r="D25" s="154">
        <f>SUM([23]M01!D24,[23]M02!D24,[23]M03!D24,[23]M04!D24,[23]M05!D24,[23]M06!D24,[23]M07!D24,[23]M08!D24,[23]M09!D24,[23]M10!D24,[23]M11!D24,[23]M12!D24)</f>
        <v>847.28190000000006</v>
      </c>
      <c r="E25" s="154">
        <f>SUM([23]M01!E24,[23]M02!E24,[23]M03!E24,[23]M04!E24,[23]M05!E24,[23]M06!E24,[23]M07!E24,[23]M08!E24,[23]M09!E24,[23]M10!E24,[23]M11!E24,[23]M12!E24)</f>
        <v>3624.8445999999999</v>
      </c>
      <c r="F25" s="154">
        <f>SUM([23]M01!F24,[23]M02!F24,[23]M03!F24,[23]M04!F24,[23]M05!F24,[23]M06!F24,[23]M07!F24,[23]M08!F24,[23]M09!F24,[23]M10!F24,[23]M11!F24,[23]M12!F24)</f>
        <v>2550.8285499999997</v>
      </c>
      <c r="G25" s="154">
        <f>SUM([23]M01!G24,[23]M02!G24,[23]M03!G24,[23]M04!G24,[23]M05!G24,[23]M06!G24,[23]M07!G24,[23]M08!G24,[23]M09!G24,[23]M10!G24,[23]M11!G24,[23]M12!G24)</f>
        <v>1014.2409</v>
      </c>
      <c r="H25" s="154">
        <f>SUM([23]M01!H24,[23]M02!H24,[23]M03!H24,[23]M04!H24,[23]M05!H24,[23]M06!H24,[23]M07!H24,[23]M08!H24,[23]M09!H24,[23]M10!H24,[23]M11!H24,[23]M12!H24)</f>
        <v>9.6766000000000005</v>
      </c>
      <c r="I25" s="154">
        <f>SUM([23]M01!I24,[23]M02!I24,[23]M03!I24,[23]M04!I24,[23]M05!I24,[23]M06!I24,[23]M07!I24,[23]M08!I24,[23]M09!I24,[23]M10!I24,[23]M11!I24,[23]M12!I24)</f>
        <v>343.17520000000002</v>
      </c>
      <c r="J25" s="154">
        <f>SUM([23]M01!J24,[23]M02!J24,[23]M03!J24,[23]M04!J24,[23]M05!J24,[23]M06!J24,[23]M07!J24,[23]M08!J24,[23]M09!J24,[23]M10!J24,[23]M11!J24,[23]M12!J24)</f>
        <v>1032.7864500000001</v>
      </c>
      <c r="K25" s="155">
        <f>SUM([23]M01!K24,[23]M02!K24,[23]M03!K24,[23]M04!K24,[23]M05!K24,[23]M06!K24,[23]M07!K24,[23]M08!K24,[23]M09!K24,[23]M10!K24,[23]M11!K24,[23]M12!K24)</f>
        <v>1112.4527499999999</v>
      </c>
      <c r="L25" s="156">
        <f>SUM(B25:K25)</f>
        <v>13381.65855</v>
      </c>
    </row>
    <row r="26" spans="1:14" ht="15" customHeight="1">
      <c r="A26" s="128" t="s">
        <v>119</v>
      </c>
      <c r="B26" s="157">
        <f>SUM([23]M01!B25,[23]M02!B25,[23]M03!B25,[23]M04!B25,[23]M05!B25,[23]M06!B25,[23]M07!B25,[23]M08!B25,[23]M09!B25,[23]M10!B25,[23]M11!B25,[23]M12!B25)</f>
        <v>110.05275</v>
      </c>
      <c r="C26" s="158">
        <f>SUM([23]M01!C25,[23]M02!C25,[23]M03!C25,[23]M04!C25,[23]M05!C25,[23]M06!C25,[23]M07!C25,[23]M08!C25,[23]M09!C25,[23]M10!C25,[23]M11!C25,[23]M12!C25)</f>
        <v>0</v>
      </c>
      <c r="D26" s="158">
        <f>SUM([23]M01!D25,[23]M02!D25,[23]M03!D25,[23]M04!D25,[23]M05!D25,[23]M06!D25,[23]M07!D25,[23]M08!D25,[23]M09!D25,[23]M10!D25,[23]M11!D25,[23]M12!D25)</f>
        <v>0.61440000000000006</v>
      </c>
      <c r="E26" s="158">
        <f>SUM([23]M01!E25,[23]M02!E25,[23]M03!E25,[23]M04!E25,[23]M05!E25,[23]M06!E25,[23]M07!E25,[23]M08!E25,[23]M09!E25,[23]M10!E25,[23]M11!E25,[23]M12!E25)</f>
        <v>1238.1158000000003</v>
      </c>
      <c r="F26" s="158">
        <f>SUM([23]M01!F25,[23]M02!F25,[23]M03!F25,[23]M04!F25,[23]M05!F25,[23]M06!F25,[23]M07!F25,[23]M08!F25,[23]M09!F25,[23]M10!F25,[23]M11!F25,[23]M12!F25)</f>
        <v>398.9753</v>
      </c>
      <c r="G26" s="158">
        <f>SUM([23]M01!G25,[23]M02!G25,[23]M03!G25,[23]M04!G25,[23]M05!G25,[23]M06!G25,[23]M07!G25,[23]M08!G25,[23]M09!G25,[23]M10!G25,[23]M11!G25,[23]M12!G25)</f>
        <v>1560.8297500000001</v>
      </c>
      <c r="H26" s="158">
        <f>SUM([23]M01!H25,[23]M02!H25,[23]M03!H25,[23]M04!H25,[23]M05!H25,[23]M06!H25,[23]M07!H25,[23]M08!H25,[23]M09!H25,[23]M10!H25,[23]M11!H25,[23]M12!H25)</f>
        <v>8788.9549000000006</v>
      </c>
      <c r="I26" s="158">
        <f>SUM([23]M01!I25,[23]M02!I25,[23]M03!I25,[23]M04!I25,[23]M05!I25,[23]M06!I25,[23]M07!I25,[23]M08!I25,[23]M09!I25,[23]M10!I25,[23]M11!I25,[23]M12!I25)</f>
        <v>0</v>
      </c>
      <c r="J26" s="158">
        <f>SUM([23]M01!J25,[23]M02!J25,[23]M03!J25,[23]M04!J25,[23]M05!J25,[23]M06!J25,[23]M07!J25,[23]M08!J25,[23]M09!J25,[23]M10!J25,[23]M11!J25,[23]M12!J25)</f>
        <v>1202.2697499999997</v>
      </c>
      <c r="K26" s="159">
        <f>SUM([23]M01!K25,[23]M02!K25,[23]M03!K25,[23]M04!K25,[23]M05!K25,[23]M06!K25,[23]M07!K25,[23]M08!K25,[23]M09!K25,[23]M10!K25,[23]M11!K25,[23]M12!K25)</f>
        <v>83.924800000000005</v>
      </c>
      <c r="L26" s="160">
        <f>SUM(B26:K26)</f>
        <v>13383.737450000001</v>
      </c>
    </row>
    <row r="27" spans="1:14" ht="9.9499999999999993" customHeight="1"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2"/>
      <c r="N27" s="163"/>
    </row>
    <row r="28" spans="1:14" ht="20.25" customHeight="1">
      <c r="A28" s="151" t="s">
        <v>120</v>
      </c>
      <c r="L28" s="152"/>
      <c r="N28" s="163"/>
    </row>
    <row r="29" spans="1:14" ht="15" customHeight="1">
      <c r="A29" s="164" t="s">
        <v>64</v>
      </c>
      <c r="B29" s="165">
        <f>SUM([23]M01!B27*$B$14,[23]M02!B27*$C$14,[23]M03!B27*$D$14,[23]M04!B27*$E$14,[23]M05!B27*$F$14,[23]M06!B27*$G$14,[23]M07!B27*$H$14,[23]M08!B27*$I$14,[23]M09!B27*$J$14,[23]M10!B27*$K$14,[23]M11!B27*$L$14,[23]M12!B27*$M$14)/$N$14</f>
        <v>2.2731123698660678</v>
      </c>
      <c r="C29" s="166">
        <f>SUM([23]M01!C27*$B$14,[23]M02!C27*$C$14,[23]M03!C27*$D$14,[23]M04!C27*$E$14,[23]M05!C27*$F$14,[23]M06!C27*$G$14,[23]M07!C27*$H$14,[23]M08!C27*$I$14,[23]M09!C27*$J$14,[23]M10!C27*$K$14,[23]M11!C27*$L$14,[23]M12!C27*$M$14)/$N$14</f>
        <v>2.6599192577372359</v>
      </c>
      <c r="D29" s="166">
        <f>SUM([23]M01!D27*$B$14,[23]M02!D27*$C$14,[23]M03!D27*$D$14,[23]M04!D27*$E$14,[23]M05!D27*$F$14,[23]M06!D27*$G$14,[23]M07!D27*$H$14,[23]M08!D27*$I$14,[23]M09!D27*$J$14,[23]M10!D27*$K$14,[23]M11!D27*$L$14,[23]M12!D27*$M$14)/$N$14</f>
        <v>2.9976900182532478</v>
      </c>
      <c r="E29" s="166">
        <f>SUM([23]M01!E27*$B$14,[23]M02!E27*$C$14,[23]M03!E27*$D$14,[23]M04!E27*$E$14,[23]M05!E27*$F$14,[23]M06!E27*$G$14,[23]M07!E27*$H$14,[23]M08!E27*$I$14,[23]M09!E27*$J$14,[23]M10!E27*$K$14,[23]M11!E27*$L$14,[23]M12!E27*$M$14)/$N$14</f>
        <v>1.9780438115794448</v>
      </c>
      <c r="F29" s="166">
        <f>SUM([23]M01!F27*$B$14,[23]M02!F27*$C$14,[23]M03!F27*$D$14,[23]M04!F27*$E$14,[23]M05!F27*$F$14,[23]M06!F27*$G$14,[23]M07!F27*$H$14,[23]M08!F27*$I$14,[23]M09!F27*$J$14,[23]M10!F27*$K$14,[23]M11!F27*$L$14,[23]M12!F27*$M$14)/$N$14</f>
        <v>0.7922921853850996</v>
      </c>
      <c r="G29" s="166">
        <f>SUM([23]M01!G27*$B$14,[23]M02!G27*$C$14,[23]M03!G27*$D$14,[23]M04!G27*$E$14,[23]M05!G27*$F$14,[23]M06!G27*$G$14,[23]M07!G27*$H$14,[23]M08!G27*$I$14,[23]M09!G27*$J$14,[23]M10!G27*$K$14,[23]M11!G27*$L$14,[23]M12!G27*$M$14)/$N$14</f>
        <v>0.83446954427826892</v>
      </c>
      <c r="H29" s="166">
        <f>SUM([23]M01!H27*$B$14,[23]M02!H27*$C$14,[23]M03!H27*$D$14,[23]M04!H27*$E$14,[23]M05!H27*$F$14,[23]M06!H27*$G$14,[23]M07!H27*$H$14,[23]M08!H27*$I$14,[23]M09!H27*$J$14,[23]M10!H27*$K$14,[23]M11!H27*$L$14,[23]M12!H27*$M$14)/$N$14</f>
        <v>9.0872328047981558E-3</v>
      </c>
      <c r="I29" s="166">
        <f>SUM([23]M01!I27*$B$14,[23]M02!I27*$C$14,[23]M03!I27*$D$14,[23]M04!I27*$E$14,[23]M05!I27*$F$14,[23]M06!I27*$G$14,[23]M07!I27*$H$14,[23]M08!I27*$I$14,[23]M09!I27*$J$14,[23]M10!I27*$K$14,[23]M11!I27*$L$14,[23]M12!I27*$M$14)/$N$14</f>
        <v>0.32975873695970909</v>
      </c>
      <c r="J29" s="166">
        <f>SUM([23]M01!J27*$B$14,[23]M02!J27*$C$14,[23]M03!J27*$D$14,[23]M04!J27*$E$14,[23]M05!J27*$F$14,[23]M06!J27*$G$14,[23]M07!J27*$H$14,[23]M08!J27*$I$14,[23]M09!J27*$J$14,[23]M10!J27*$K$14,[23]M11!J27*$L$14,[23]M12!J27*$M$14)/$N$14</f>
        <v>1.0163056881129666</v>
      </c>
      <c r="K29" s="167">
        <f>SUM([23]M01!K27*$B$14,[23]M02!K27*$C$14,[23]M03!K27*$D$14,[23]M04!K27*$E$14,[23]M05!K27*$F$14,[23]M06!K27*$G$14,[23]M07!K27*$H$14,[23]M08!K27*$I$14,[23]M09!K27*$J$14,[23]M10!K27*$K$14,[23]M11!K27*$L$14,[23]M12!K27*$M$14)/$N$14</f>
        <v>3.7561781654180244</v>
      </c>
      <c r="L29" s="152"/>
      <c r="N29" s="163"/>
    </row>
    <row r="30" spans="1:14" ht="15" customHeight="1">
      <c r="A30" s="168" t="s">
        <v>121</v>
      </c>
      <c r="B30" s="169">
        <f>SUM([23]M01!B28*$B$14,[23]M02!B28*$C$14,[23]M03!B28*$D$14,[23]M04!B28*$E$14,[23]M05!B28*$F$14,[23]M06!B28*$G$14,[23]M07!B28*$H$14,[23]M08!B28*$I$14,[23]M09!B28*$J$14,[23]M10!B28*$K$14,[23]M11!B28*$L$14,[23]M12!B28*$M$14)/$N$14</f>
        <v>3.6870511825197172E-5</v>
      </c>
      <c r="C30" s="170">
        <f>SUM([23]M01!C28*$B$14,[23]M02!C28*$C$14,[23]M03!C28*$D$14,[23]M04!C28*$E$14,[23]M05!C28*$F$14,[23]M06!C28*$G$14,[23]M07!C28*$H$14,[23]M08!C28*$I$14,[23]M09!C28*$J$14,[23]M10!C28*$K$14,[23]M11!C28*$L$14,[23]M12!C28*$M$14)/$N$14</f>
        <v>0</v>
      </c>
      <c r="D30" s="170">
        <f>SUM([23]M01!D28*$B$14,[23]M02!D28*$C$14,[23]M03!D28*$D$14,[23]M04!D28*$E$14,[23]M05!D28*$F$14,[23]M06!D28*$G$14,[23]M07!D28*$H$14,[23]M08!D28*$I$14,[23]M09!D28*$J$14,[23]M10!D28*$K$14,[23]M11!D28*$L$14,[23]M12!D28*$M$14)/$N$14</f>
        <v>0</v>
      </c>
      <c r="E30" s="170">
        <f>SUM([23]M01!E28*$B$14,[23]M02!E28*$C$14,[23]M03!E28*$D$14,[23]M04!E28*$E$14,[23]M05!E28*$F$14,[23]M06!E28*$G$14,[23]M07!E28*$H$14,[23]M08!E28*$I$14,[23]M09!E28*$J$14,[23]M10!E28*$K$14,[23]M11!E28*$L$14,[23]M12!E28*$M$14)/$N$14</f>
        <v>1.2349999520118982</v>
      </c>
      <c r="F30" s="170">
        <f>SUM([23]M01!F28*$B$14,[23]M02!F28*$C$14,[23]M03!F28*$D$14,[23]M04!F28*$E$14,[23]M05!F28*$F$14,[23]M06!F28*$G$14,[23]M07!F28*$H$14,[23]M08!F28*$I$14,[23]M09!F28*$J$14,[23]M10!F28*$K$14,[23]M11!F28*$L$14,[23]M12!F28*$M$14)/$N$14</f>
        <v>1.734977029059158</v>
      </c>
      <c r="G30" s="170">
        <f>SUM([23]M01!G28*$B$14,[23]M02!G28*$C$14,[23]M03!G28*$D$14,[23]M04!G28*$E$14,[23]M05!G28*$F$14,[23]M06!G28*$G$14,[23]M07!G28*$H$14,[23]M08!G28*$I$14,[23]M09!G28*$J$14,[23]M10!G28*$K$14,[23]M11!G28*$L$14,[23]M12!G28*$M$14)/$N$14</f>
        <v>2.031753634556543</v>
      </c>
      <c r="H30" s="170">
        <f>SUM([23]M01!H28*$B$14,[23]M02!H28*$C$14,[23]M03!H28*$D$14,[23]M04!H28*$E$14,[23]M05!H28*$F$14,[23]M06!H28*$G$14,[23]M07!H28*$H$14,[23]M08!H28*$I$14,[23]M09!H28*$J$14,[23]M10!H28*$K$14,[23]M11!H28*$L$14,[23]M12!H28*$M$14)/$N$14</f>
        <v>2.0991535186526571</v>
      </c>
      <c r="I30" s="170">
        <f>SUM([23]M01!I28*$B$14,[23]M02!I28*$C$14,[23]M03!I28*$D$14,[23]M04!I28*$E$14,[23]M05!I28*$F$14,[23]M06!I28*$G$14,[23]M07!I28*$H$14,[23]M08!I28*$I$14,[23]M09!I28*$J$14,[23]M10!I28*$K$14,[23]M11!I28*$L$14,[23]M12!I28*$M$14)/$N$14</f>
        <v>0</v>
      </c>
      <c r="J30" s="170">
        <f>SUM([23]M01!J28*$B$14,[23]M02!J28*$C$14,[23]M03!J28*$D$14,[23]M04!J28*$E$14,[23]M05!J28*$F$14,[23]M06!J28*$G$14,[23]M07!J28*$H$14,[23]M08!J28*$I$14,[23]M09!J28*$J$14,[23]M10!J28*$K$14,[23]M11!J28*$L$14,[23]M12!J28*$M$14)/$N$14</f>
        <v>2.1534386153172198</v>
      </c>
      <c r="K30" s="171">
        <f>SUM([23]M01!K28*$B$14,[23]M02!K28*$C$14,[23]M03!K28*$D$14,[23]M04!K28*$E$14,[23]M05!K28*$F$14,[23]M06!K28*$G$14,[23]M07!K28*$H$14,[23]M08!K28*$I$14,[23]M09!K28*$J$14,[23]M10!K28*$K$14,[23]M11!K28*$L$14,[23]M12!K28*$M$14)/$N$14</f>
        <v>0.7858457329171219</v>
      </c>
      <c r="L30" s="152"/>
      <c r="N30" s="163"/>
    </row>
    <row r="31" spans="1:14" ht="20.25" customHeight="1">
      <c r="A31" s="151" t="s">
        <v>122</v>
      </c>
      <c r="L31" s="152"/>
      <c r="N31" s="163"/>
    </row>
    <row r="32" spans="1:14" ht="15" customHeight="1">
      <c r="A32" s="172" t="s">
        <v>123</v>
      </c>
      <c r="B32" s="173">
        <f>SUM([23]M01!B30,[23]M02!B30,[23]M03!B30,[23]M04!B30,[23]M05!B30,[23]M06!B30,[23]M07!B30,[23]M08!B30,[23]M09!B30,[23]M10!B30,[23]M11!B30,[23]M12!B30)</f>
        <v>7.2614090437789454</v>
      </c>
      <c r="L32" s="152"/>
      <c r="N32" s="163"/>
    </row>
    <row r="33" spans="1:14" ht="15" customHeight="1">
      <c r="A33" s="174" t="s">
        <v>124</v>
      </c>
      <c r="B33" s="175">
        <f>SUM([23]M01!B31,[23]M02!B31,[23]M03!B31,[23]M04!B31,[23]M05!B31,[23]M06!B31,[23]M07!B31,[23]M08!B31,[23]M09!B31,[23]M10!B31,[23]M11!B31,[23]M12!B31)</f>
        <v>21.017594977889733</v>
      </c>
      <c r="L33" s="152"/>
      <c r="N33" s="163"/>
    </row>
    <row r="34" spans="1:14" ht="20.25" hidden="1" customHeight="1">
      <c r="A34" s="151" t="s">
        <v>125</v>
      </c>
      <c r="L34" s="152"/>
      <c r="N34" s="163"/>
    </row>
    <row r="35" spans="1:14" ht="15" hidden="1" customHeight="1">
      <c r="A35" s="172" t="s">
        <v>123</v>
      </c>
      <c r="B35" s="173" t="e">
        <f>SUM([23]M01!#REF!,[23]M02!#REF!,[23]M03!#REF!,[23]M04!#REF!,[23]M05!#REF!,[23]M06!#REF!,[23]M07!#REF!,[23]M08!#REF!,[23]M09!#REF!,[23]M10!#REF!,[23]M11!#REF!,[23]M12!#REF!)</f>
        <v>#REF!</v>
      </c>
      <c r="L35" s="152"/>
      <c r="N35" s="163"/>
    </row>
    <row r="36" spans="1:14" ht="15" hidden="1" customHeight="1">
      <c r="A36" s="174" t="s">
        <v>124</v>
      </c>
      <c r="B36" s="175" t="e">
        <f>SUM([23]M01!#REF!,[23]M02!#REF!,[23]M03!#REF!,[23]M04!#REF!,[23]M05!#REF!,[23]M06!#REF!,[23]M07!#REF!,[23]M08!#REF!,[23]M09!#REF!,[23]M10!#REF!,[23]M11!#REF!,[23]M12!#REF!)</f>
        <v>#REF!</v>
      </c>
      <c r="L36" s="152"/>
      <c r="N36" s="163"/>
    </row>
    <row r="37" spans="1:14" ht="20.25" customHeight="1">
      <c r="A37" s="151" t="s">
        <v>126</v>
      </c>
      <c r="L37" s="152"/>
      <c r="N37" s="163"/>
    </row>
    <row r="38" spans="1:14" ht="15" customHeight="1">
      <c r="A38" s="176" t="s">
        <v>121</v>
      </c>
      <c r="B38" s="177">
        <f>SUM([23]M01!B33*$B$14,[23]M02!B33*$C$14,[23]M03!B33*$D$14,[23]M04!B33*$E$14,[23]M05!B33*$F$14,[23]M06!B33*$G$14,[23]M07!B33*$H$14,[23]M08!B33*$I$14,[23]M09!B33*$J$14,[23]M10!B33*$K$14,[23]M11!B33*$L$14,[23]M12!B33*$M$14)/$N$14</f>
        <v>0</v>
      </c>
      <c r="C38" s="178">
        <f>SUM([23]M01!C33*$B$14,[23]M02!C33*$C$14,[23]M03!C33*$D$14,[23]M04!C33*$E$14,[23]M05!C33*$F$14,[23]M06!C33*$G$14,[23]M07!C33*$H$14,[23]M08!C33*$I$14,[23]M09!C33*$J$14,[23]M10!C33*$K$14,[23]M11!C33*$L$14,[23]M12!C33*$M$14)/$N$14</f>
        <v>0</v>
      </c>
      <c r="D38" s="178">
        <f>SUM([23]M01!D33*$B$14,[23]M02!D33*$C$14,[23]M03!D33*$D$14,[23]M04!D33*$E$14,[23]M05!D33*$F$14,[23]M06!D33*$G$14,[23]M07!D33*$H$14,[23]M08!D33*$I$14,[23]M09!D33*$J$14,[23]M10!D33*$K$14,[23]M11!D33*$L$14,[23]M12!D33*$M$14)/$N$14</f>
        <v>0</v>
      </c>
      <c r="E38" s="178">
        <f>SUM([23]M01!E33*$B$14,[23]M02!E33*$C$14,[23]M03!E33*$D$14,[23]M04!E33*$E$14,[23]M05!E33*$F$14,[23]M06!E33*$G$14,[23]M07!E33*$H$14,[23]M08!E33*$I$14,[23]M09!E33*$J$14,[23]M10!E33*$K$14,[23]M11!E33*$L$14,[23]M12!E33*$M$14)/$N$14</f>
        <v>0</v>
      </c>
      <c r="F38" s="178">
        <f>SUM([23]M01!F33*$B$14,[23]M02!F33*$C$14,[23]M03!F33*$D$14,[23]M04!F33*$E$14,[23]M05!F33*$F$14,[23]M06!F33*$G$14,[23]M07!F33*$H$14,[23]M08!F33*$I$14,[23]M09!F33*$J$14,[23]M10!F33*$K$14,[23]M11!F33*$L$14,[23]M12!F33*$M$14)/$N$14</f>
        <v>0</v>
      </c>
      <c r="G38" s="178">
        <f>SUM([23]M01!G33*$B$14,[23]M02!G33*$C$14,[23]M03!G33*$D$14,[23]M04!G33*$E$14,[23]M05!G33*$F$14,[23]M06!G33*$G$14,[23]M07!G33*$H$14,[23]M08!G33*$I$14,[23]M09!G33*$J$14,[23]M10!G33*$K$14,[23]M11!G33*$L$14,[23]M12!G33*$M$14)/$N$14</f>
        <v>0</v>
      </c>
      <c r="H38" s="178">
        <f>SUM([23]M01!H33*$B$14,[23]M02!H33*$C$14,[23]M03!H33*$D$14,[23]M04!H33*$E$14,[23]M05!H33*$F$14,[23]M06!H33*$G$14,[23]M07!H33*$H$14,[23]M08!H33*$I$14,[23]M09!H33*$J$14,[23]M10!H33*$K$14,[23]M11!H33*$L$14,[23]M12!H33*$M$14)/$N$14</f>
        <v>0</v>
      </c>
      <c r="I38" s="178">
        <f>SUM([23]M01!I33*$B$14,[23]M02!I33*$C$14,[23]M03!I33*$D$14,[23]M04!I33*$E$14,[23]M05!I33*$F$14,[23]M06!I33*$G$14,[23]M07!I33*$H$14,[23]M08!I33*$I$14,[23]M09!I33*$J$14,[23]M10!I33*$K$14,[23]M11!I33*$L$14,[23]M12!I33*$M$14)/$N$14</f>
        <v>0</v>
      </c>
      <c r="J38" s="178">
        <f>SUM([23]M01!J33*$B$14,[23]M02!J33*$C$14,[23]M03!J33*$D$14,[23]M04!J33*$E$14,[23]M05!J33*$F$14,[23]M06!J33*$G$14,[23]M07!J33*$H$14,[23]M08!J33*$I$14,[23]M09!J33*$J$14,[23]M10!J33*$K$14,[23]M11!J33*$L$14,[23]M12!J33*$M$14)/$N$14</f>
        <v>0</v>
      </c>
      <c r="K38" s="179">
        <f>SUM([23]M01!K33*$B$14,[23]M02!K33*$C$14,[23]M03!K33*$D$14,[23]M04!K33*$E$14,[23]M05!K33*$F$14,[23]M06!K33*$G$14,[23]M07!K33*$H$14,[23]M08!K33*$I$14,[23]M09!K33*$J$14,[23]M10!K33*$K$14,[23]M11!K33*$L$14,[23]M12!K33*$M$14)/$N$14</f>
        <v>0</v>
      </c>
      <c r="L38" s="152"/>
      <c r="N38" s="163"/>
    </row>
    <row r="39" spans="1:14" ht="20.25" customHeight="1">
      <c r="A39" s="151" t="s">
        <v>127</v>
      </c>
      <c r="L39" s="152"/>
      <c r="N39" s="163"/>
    </row>
    <row r="40" spans="1:14" ht="15" customHeight="1">
      <c r="A40" s="174" t="s">
        <v>124</v>
      </c>
      <c r="B40" s="175">
        <f>SUM([23]M01!I34,[23]M02!I34,[23]M03!I34,[23]M04!I34,[23]M05!I34,[23]M06!I34,[23]M07!I34,[23]M08!I34,[23]M09!I34,[23]M10!I34,[23]M11!I34,[23]M12!I34)</f>
        <v>0</v>
      </c>
      <c r="L40" s="152"/>
      <c r="N40" s="163"/>
    </row>
    <row r="41" spans="1:14" ht="9.9499999999999993" customHeight="1">
      <c r="L41" s="152"/>
      <c r="N41" s="163"/>
    </row>
    <row r="42" spans="1:14" ht="9.9499999999999993" customHeight="1" thickBot="1">
      <c r="L42" s="152"/>
      <c r="N42" s="163"/>
    </row>
    <row r="43" spans="1:14" ht="20.25" customHeight="1" thickTop="1">
      <c r="A43" s="180" t="s">
        <v>128</v>
      </c>
      <c r="B43" s="181"/>
      <c r="C43" s="181"/>
      <c r="D43" s="181"/>
      <c r="E43" s="181"/>
      <c r="F43" s="181"/>
      <c r="G43" s="181"/>
      <c r="H43" s="181"/>
      <c r="I43" s="181"/>
      <c r="J43" s="181"/>
      <c r="K43" s="182"/>
      <c r="L43" s="183"/>
      <c r="N43" s="163"/>
    </row>
    <row r="44" spans="1:14" ht="15" customHeight="1">
      <c r="A44" s="184" t="s">
        <v>64</v>
      </c>
      <c r="B44" s="185">
        <f>IFERROR(B54/B25,0)</f>
        <v>2.1974528194598335</v>
      </c>
      <c r="C44" s="186">
        <f t="shared" ref="C44:K44" si="0">IFERROR(C54/C25,0)</f>
        <v>2.2682327587142992</v>
      </c>
      <c r="D44" s="186">
        <f t="shared" si="0"/>
        <v>2.6112279182062657</v>
      </c>
      <c r="E44" s="186">
        <f t="shared" si="0"/>
        <v>1.7703686619731964</v>
      </c>
      <c r="F44" s="186">
        <f t="shared" si="0"/>
        <v>0.8646059029379054</v>
      </c>
      <c r="G44" s="186">
        <f t="shared" si="0"/>
        <v>0.93458949848374895</v>
      </c>
      <c r="H44" s="186">
        <f t="shared" si="0"/>
        <v>0.23179684063632372</v>
      </c>
      <c r="I44" s="186">
        <f t="shared" si="0"/>
        <v>0.41588037671900613</v>
      </c>
      <c r="J44" s="186">
        <f t="shared" si="0"/>
        <v>0.58640173249252769</v>
      </c>
      <c r="K44" s="187">
        <f t="shared" si="0"/>
        <v>3.5182078372237706</v>
      </c>
      <c r="L44" s="183"/>
      <c r="N44" s="163"/>
    </row>
    <row r="45" spans="1:14" ht="15" customHeight="1">
      <c r="A45" s="188" t="s">
        <v>121</v>
      </c>
      <c r="B45" s="189">
        <f t="shared" ref="B45:K45" si="1">IFERROR(B55/B26,0)</f>
        <v>4.6603583901340826E-5</v>
      </c>
      <c r="C45" s="189">
        <f t="shared" si="1"/>
        <v>0</v>
      </c>
      <c r="D45" s="189">
        <f t="shared" si="1"/>
        <v>0</v>
      </c>
      <c r="E45" s="189">
        <f t="shared" si="1"/>
        <v>1.1993640924695697</v>
      </c>
      <c r="F45" s="189">
        <f t="shared" si="1"/>
        <v>2.1749662240812619</v>
      </c>
      <c r="G45" s="189">
        <f t="shared" si="1"/>
        <v>2.0235310637310255</v>
      </c>
      <c r="H45" s="189">
        <f t="shared" si="1"/>
        <v>2.0564839782454154</v>
      </c>
      <c r="I45" s="189">
        <f t="shared" si="1"/>
        <v>0</v>
      </c>
      <c r="J45" s="189">
        <f t="shared" si="1"/>
        <v>2.0567230064236743</v>
      </c>
      <c r="K45" s="190">
        <f t="shared" si="1"/>
        <v>0.56915426782746881</v>
      </c>
      <c r="L45" s="183"/>
      <c r="N45" s="163"/>
    </row>
    <row r="46" spans="1:14" ht="20.25" customHeight="1">
      <c r="A46" s="191" t="s">
        <v>129</v>
      </c>
      <c r="B46" s="192"/>
      <c r="C46" s="192"/>
      <c r="D46" s="192"/>
      <c r="E46" s="192"/>
      <c r="F46" s="192"/>
      <c r="G46" s="192"/>
      <c r="H46" s="192"/>
      <c r="I46" s="193"/>
      <c r="J46" s="193"/>
      <c r="K46" s="194"/>
      <c r="L46" s="183"/>
      <c r="N46" s="195"/>
    </row>
    <row r="47" spans="1:14" ht="15" customHeight="1">
      <c r="A47" s="196" t="s">
        <v>123</v>
      </c>
      <c r="B47" s="197">
        <f>B32</f>
        <v>7.2614090437789454</v>
      </c>
      <c r="C47" s="198"/>
      <c r="D47" s="198"/>
      <c r="E47" s="193"/>
      <c r="F47" s="193"/>
      <c r="G47" s="193"/>
      <c r="H47" s="192"/>
      <c r="I47" s="193"/>
      <c r="J47" s="193"/>
      <c r="K47" s="194"/>
      <c r="L47" s="183"/>
      <c r="N47" s="199"/>
    </row>
    <row r="48" spans="1:14" ht="15" customHeight="1">
      <c r="A48" s="200" t="s">
        <v>124</v>
      </c>
      <c r="B48" s="201">
        <f>B33+B40</f>
        <v>21.017594977889733</v>
      </c>
      <c r="C48" s="198"/>
      <c r="D48" s="198"/>
      <c r="E48" s="193"/>
      <c r="F48" s="193"/>
      <c r="G48" s="193"/>
      <c r="H48" s="192"/>
      <c r="I48" s="193"/>
      <c r="J48" s="193"/>
      <c r="K48" s="194"/>
      <c r="L48" s="183"/>
      <c r="N48" s="199"/>
    </row>
    <row r="49" spans="1:14" ht="9.9499999999999993" customHeight="1" thickBot="1">
      <c r="A49" s="202"/>
      <c r="B49" s="203"/>
      <c r="C49" s="204"/>
      <c r="D49" s="204"/>
      <c r="E49" s="204"/>
      <c r="F49" s="204"/>
      <c r="G49" s="204"/>
      <c r="H49" s="204"/>
      <c r="I49" s="204"/>
      <c r="J49" s="204"/>
      <c r="K49" s="205"/>
      <c r="L49" s="183"/>
      <c r="N49" s="163"/>
    </row>
    <row r="50" spans="1:14" ht="9.9499999999999993" customHeight="1" thickTop="1">
      <c r="B50" s="206"/>
      <c r="L50" s="152"/>
      <c r="N50" s="163"/>
    </row>
    <row r="51" spans="1:14" ht="20.25" customHeight="1">
      <c r="A51" s="207" t="s">
        <v>130</v>
      </c>
      <c r="B51" s="208"/>
      <c r="C51" s="208"/>
      <c r="D51" s="208"/>
      <c r="E51" s="208"/>
      <c r="F51" s="208"/>
      <c r="G51" s="208"/>
      <c r="H51" s="208"/>
      <c r="I51" s="208"/>
      <c r="J51" s="208"/>
      <c r="K51" s="208"/>
      <c r="L51" s="209">
        <f>ROUND(SUM(L54:L55,L57:L58),3)</f>
        <v>127459.101</v>
      </c>
      <c r="M51" s="209">
        <f>ROUND(B3,3)</f>
        <v>127459.101</v>
      </c>
      <c r="N51" s="249"/>
    </row>
    <row r="52" spans="1:14" ht="20.25" customHeight="1">
      <c r="A52" s="210" t="s">
        <v>131</v>
      </c>
      <c r="B52" s="208"/>
      <c r="C52" s="208"/>
      <c r="D52" s="208"/>
      <c r="E52" s="208"/>
      <c r="F52" s="208"/>
      <c r="G52" s="208"/>
      <c r="H52" s="208"/>
      <c r="I52" s="208"/>
      <c r="J52" s="208"/>
      <c r="K52" s="208"/>
      <c r="L52" s="162"/>
      <c r="M52" s="211">
        <f>M53+M56</f>
        <v>0.99999999808097007</v>
      </c>
      <c r="N52" s="163"/>
    </row>
    <row r="53" spans="1:14" ht="20.25" customHeight="1">
      <c r="A53" s="212" t="s">
        <v>19</v>
      </c>
      <c r="B53" s="213">
        <v>1</v>
      </c>
      <c r="C53" s="214">
        <v>2</v>
      </c>
      <c r="D53" s="214">
        <v>3</v>
      </c>
      <c r="E53" s="214">
        <v>4</v>
      </c>
      <c r="F53" s="214">
        <v>5</v>
      </c>
      <c r="G53" s="214">
        <v>6</v>
      </c>
      <c r="H53" s="214">
        <v>7</v>
      </c>
      <c r="I53" s="214">
        <v>8</v>
      </c>
      <c r="J53" s="214">
        <v>9</v>
      </c>
      <c r="K53" s="215">
        <v>10</v>
      </c>
      <c r="L53" s="216">
        <f>L54+L55</f>
        <v>48924.373215336309</v>
      </c>
      <c r="M53" s="211">
        <f>L53/$M$51</f>
        <v>0.38384370226600228</v>
      </c>
      <c r="N53" s="217"/>
    </row>
    <row r="54" spans="1:14" ht="15" customHeight="1">
      <c r="A54" s="218" t="s">
        <v>64</v>
      </c>
      <c r="B54" s="219">
        <f>SUM([23]M01!B38,[23]M02!B38,[23]M03!B38,[23]M04!B38,[23]M05!B38,[23]M06!B38,[23]M07!B38,[23]M08!B38,[23]M09!B38,[23]M10!B38,[23]M11!B38,[23]M12!B38)</f>
        <v>2650.0293247643244</v>
      </c>
      <c r="C54" s="220">
        <f>SUM([23]M01!C38,[23]M02!C38,[23]M03!C38,[23]M04!C38,[23]M05!C38,[23]M06!C38,[23]M07!C38,[23]M08!C38,[23]M09!C38,[23]M10!C38,[23]M11!C38,[23]M12!C38)</f>
        <v>3720.8465566470927</v>
      </c>
      <c r="D54" s="220">
        <f>SUM([23]M01!D38,[23]M02!D38,[23]M03!D38,[23]M04!D38,[23]M05!D38,[23]M06!D38,[23]M07!D38,[23]M08!D38,[23]M09!D38,[23]M10!D38,[23]M11!D38,[23]M12!D38)</f>
        <v>2212.4461518708495</v>
      </c>
      <c r="E54" s="220">
        <f>SUM([23]M01!E38,[23]M02!E38,[23]M03!E38,[23]M04!E38,[23]M05!E38,[23]M06!E38,[23]M07!E38,[23]M08!E38,[23]M09!E38,[23]M10!E38,[23]M11!E38,[23]M12!E38)</f>
        <v>6417.3112843627659</v>
      </c>
      <c r="F54" s="220">
        <f>SUM([23]M01!F38,[23]M02!F38,[23]M03!F38,[23]M04!F38,[23]M05!F38,[23]M06!F38,[23]M07!F38,[23]M08!F38,[23]M09!F38,[23]M10!F38,[23]M11!F38,[23]M12!F38)</f>
        <v>2205.4614217125377</v>
      </c>
      <c r="G54" s="220">
        <f>SUM([23]M01!G38,[23]M02!G38,[23]M03!G38,[23]M04!G38,[23]M05!G38,[23]M06!G38,[23]M07!G38,[23]M08!G38,[23]M09!G38,[23]M10!G38,[23]M11!G38,[23]M12!G38)</f>
        <v>947.89889407270618</v>
      </c>
      <c r="H54" s="220">
        <f>SUM([23]M01!H38,[23]M02!H38,[23]M03!H38,[23]M04!H38,[23]M05!H38,[23]M06!H38,[23]M07!H38,[23]M08!H38,[23]M09!H38,[23]M10!H38,[23]M11!H38,[23]M12!H38)</f>
        <v>2.2430053081014503</v>
      </c>
      <c r="I54" s="220">
        <f>SUM([23]M01!I38,[23]M02!I38,[23]M03!I38,[23]M04!I38,[23]M05!I38,[23]M06!I38,[23]M07!I38,[23]M08!I38,[23]M09!I38,[23]M10!I38,[23]M11!I38,[23]M12!I38)</f>
        <v>142.71983145662028</v>
      </c>
      <c r="J54" s="220">
        <f>SUM([23]M01!J38,[23]M02!J38,[23]M03!J38,[23]M04!J38,[23]M05!J38,[23]M06!J38,[23]M07!J38,[23]M08!J38,[23]M09!J38,[23]M10!J38,[23]M11!J38,[23]M12!J38)</f>
        <v>605.62776357480732</v>
      </c>
      <c r="K54" s="221">
        <f>SUM([23]M01!K38,[23]M02!K38,[23]M03!K38,[23]M04!K38,[23]M05!K38,[23]M06!K38,[23]M07!K38,[23]M08!K38,[23]M09!K38,[23]M10!K38,[23]M11!K38,[23]M12!K38)</f>
        <v>3913.8399835911355</v>
      </c>
      <c r="L54" s="222">
        <f>SUM(B54:K54)</f>
        <v>22818.424217360942</v>
      </c>
      <c r="M54" s="223">
        <f>L54/(L55+L54)</f>
        <v>0.46640197344844181</v>
      </c>
      <c r="N54" s="224"/>
    </row>
    <row r="55" spans="1:14" ht="15" customHeight="1">
      <c r="A55" s="225" t="s">
        <v>121</v>
      </c>
      <c r="B55" s="226">
        <f>SUM([23]M01!B39,[23]M02!B39,[23]M03!B39,[23]M04!B39,[23]M05!B39,[23]M06!B39,[23]M07!B39,[23]M08!B39,[23]M09!B39,[23]M10!B39,[23]M11!B39,[23]M12!B39)</f>
        <v>5.1288525681982867E-3</v>
      </c>
      <c r="C55" s="227">
        <f>SUM([23]M01!C39,[23]M02!C39,[23]M03!C39,[23]M04!C39,[23]M05!C39,[23]M06!C39,[23]M07!C39,[23]M08!C39,[23]M09!C39,[23]M10!C39,[23]M11!C39,[23]M12!C39)</f>
        <v>0</v>
      </c>
      <c r="D55" s="227">
        <f>SUM([23]M01!D39,[23]M02!D39,[23]M03!D39,[23]M04!D39,[23]M05!D39,[23]M06!D39,[23]M07!D39,[23]M08!D39,[23]M09!D39,[23]M10!D39,[23]M11!D39,[23]M12!D39)</f>
        <v>0</v>
      </c>
      <c r="E55" s="227">
        <f>SUM([23]M01!E39,[23]M02!E39,[23]M03!E39,[23]M04!E39,[23]M05!E39,[23]M06!E39,[23]M07!E39,[23]M08!E39,[23]M09!E39,[23]M10!E39,[23]M11!E39,[23]M12!E39)</f>
        <v>1484.9516328392356</v>
      </c>
      <c r="F55" s="227">
        <f>SUM([23]M01!F39,[23]M02!F39,[23]M03!F39,[23]M04!F39,[23]M05!F39,[23]M06!F39,[23]M07!F39,[23]M08!F39,[23]M09!F39,[23]M10!F39,[23]M11!F39,[23]M12!F39)</f>
        <v>867.7578017426888</v>
      </c>
      <c r="G55" s="227">
        <f>SUM([23]M01!G39,[23]M02!G39,[23]M03!G39,[23]M04!G39,[23]M05!G39,[23]M06!G39,[23]M07!G39,[23]M08!G39,[23]M09!G39,[23]M10!G39,[23]M11!G39,[23]M12!G39)</f>
        <v>3158.3874843205308</v>
      </c>
      <c r="H55" s="227">
        <f>SUM([23]M01!H39,[23]M02!H39,[23]M03!H39,[23]M04!H39,[23]M05!H39,[23]M06!H39,[23]M07!H39,[23]M08!H39,[23]M09!H39,[23]M10!H39,[23]M11!H39,[23]M12!H39)</f>
        <v>18074.344937371538</v>
      </c>
      <c r="I55" s="227">
        <f>SUM([23]M01!I39,[23]M02!I39,[23]M03!I39,[23]M04!I39,[23]M05!I39,[23]M06!I39,[23]M07!I39,[23]M08!I39,[23]M09!I39,[23]M10!I39,[23]M11!I39,[23]M12!I39)</f>
        <v>0</v>
      </c>
      <c r="J55" s="227">
        <f>SUM([23]M01!J39,[23]M02!J39,[23]M03!J39,[23]M04!J39,[23]M05!J39,[23]M06!J39,[23]M07!J39,[23]M08!J39,[23]M09!J39,[23]M10!J39,[23]M11!J39,[23]M12!J39)</f>
        <v>2472.735854752239</v>
      </c>
      <c r="K55" s="228">
        <f>SUM([23]M01!K39,[23]M02!K39,[23]M03!K39,[23]M04!K39,[23]M05!K39,[23]M06!K39,[23]M07!K39,[23]M08!K39,[23]M09!K39,[23]M10!K39,[23]M11!K39,[23]M12!K39)</f>
        <v>47.766158096566755</v>
      </c>
      <c r="L55" s="229">
        <f>SUM(B55:K55)</f>
        <v>26105.948997975363</v>
      </c>
      <c r="M55" s="230">
        <f>L55/(L54+L55)</f>
        <v>0.53359802655155819</v>
      </c>
      <c r="N55" s="105"/>
    </row>
    <row r="56" spans="1:14" ht="20.25" customHeight="1">
      <c r="A56" s="210" t="s">
        <v>132</v>
      </c>
      <c r="B56" s="208"/>
      <c r="C56" s="208"/>
      <c r="D56" s="208"/>
      <c r="E56" s="208"/>
      <c r="F56" s="208"/>
      <c r="G56" s="208"/>
      <c r="H56" s="208"/>
      <c r="I56" s="208"/>
      <c r="J56" s="208"/>
      <c r="K56" s="208"/>
      <c r="L56" s="216">
        <f>L57+L58</f>
        <v>78534.727540065855</v>
      </c>
      <c r="M56" s="211">
        <f>L56/$M$51</f>
        <v>0.61615629581496778</v>
      </c>
      <c r="N56" s="217"/>
    </row>
    <row r="57" spans="1:14" ht="15" customHeight="1">
      <c r="A57" s="218" t="s">
        <v>64</v>
      </c>
      <c r="B57" s="219">
        <f>SUM([23]M01!B41,[23]M02!B41,[23]M03!B41,[23]M04!B41,[23]M05!B41,[23]M06!B41,[23]M07!B41,[23]M08!B41,[23]M09!B41,[23]M10!B41,[23]M11!B41,[23]M12!B41)</f>
        <v>2772.2607447339269</v>
      </c>
      <c r="C57" s="220">
        <f>SUM([23]M01!C41,[23]M02!C41,[23]M03!C41,[23]M04!C41,[23]M05!C41,[23]M06!C41,[23]M07!C41,[23]M08!C41,[23]M09!C41,[23]M10!C41,[23]M11!C41,[23]M12!C41)</f>
        <v>3984.1899141406325</v>
      </c>
      <c r="D57" s="220">
        <f>SUM([23]M01!D41,[23]M02!D41,[23]M03!D41,[23]M04!D41,[23]M05!D41,[23]M06!D41,[23]M07!D41,[23]M08!D41,[23]M09!D41,[23]M10!D41,[23]M11!D41,[23]M12!D41)</f>
        <v>1409.4394953974943</v>
      </c>
      <c r="E57" s="220">
        <f>SUM([23]M01!E41,[23]M02!E41,[23]M03!E41,[23]M04!E41,[23]M05!E41,[23]M06!E41,[23]M07!E41,[23]M08!E41,[23]M09!E41,[23]M10!E41,[23]M11!E41,[23]M12!E41)</f>
        <v>5771.7309784476929</v>
      </c>
      <c r="F57" s="220">
        <f>SUM([23]M01!F41,[23]M02!F41,[23]M03!F41,[23]M04!F41,[23]M05!F41,[23]M06!F41,[23]M07!F41,[23]M08!F41,[23]M09!F41,[23]M10!F41,[23]M11!F41,[23]M12!F41)</f>
        <v>5856.1085515364057</v>
      </c>
      <c r="G57" s="220">
        <f>SUM([23]M01!G41,[23]M02!G41,[23]M03!G41,[23]M04!G41,[23]M05!G41,[23]M06!G41,[23]M07!G41,[23]M08!G41,[23]M09!G41,[23]M10!G41,[23]M11!G41,[23]M12!G41)</f>
        <v>2685.7343304088795</v>
      </c>
      <c r="H57" s="220">
        <f>SUM([23]M01!H41,[23]M02!H41,[23]M03!H41,[23]M04!H41,[23]M05!H41,[23]M06!H41,[23]M07!H41,[23]M08!H41,[23]M09!H41,[23]M10!H41,[23]M11!H41,[23]M12!H41)</f>
        <v>1112.0121809643078</v>
      </c>
      <c r="I57" s="220">
        <f>SUM([23]M01!I41,[23]M02!I41,[23]M03!I41,[23]M04!I41,[23]M05!I41,[23]M06!I41,[23]M07!I41,[23]M08!I41,[23]M09!I41,[23]M10!I41,[23]M11!I41,[23]M12!I41)</f>
        <v>1887.966351382526</v>
      </c>
      <c r="J57" s="220">
        <f>SUM([23]M01!J41,[23]M02!J41,[23]M03!J41,[23]M04!J41,[23]M05!J41,[23]M06!J41,[23]M07!J41,[23]M08!J41,[23]M09!J41,[23]M10!J41,[23]M11!J41,[23]M12!J41)</f>
        <v>9993.5141965007751</v>
      </c>
      <c r="K57" s="221">
        <f>SUM([23]M01!K41,[23]M02!K41,[23]M03!K41,[23]M04!K41,[23]M05!K41,[23]M06!K41,[23]M07!K41,[23]M08!K41,[23]M09!K41,[23]M10!K41,[23]M11!K41,[23]M12!K41)</f>
        <v>1850.2070243548758</v>
      </c>
      <c r="L57" s="222">
        <f>SUM(B57:K57)</f>
        <v>37323.163767867511</v>
      </c>
      <c r="M57" s="223">
        <f>L57/(L58+L57)</f>
        <v>0.47524407274255137</v>
      </c>
      <c r="N57" s="224"/>
    </row>
    <row r="58" spans="1:14" ht="15" customHeight="1">
      <c r="A58" s="225" t="s">
        <v>121</v>
      </c>
      <c r="B58" s="226">
        <f>SUM([23]M01!B42,[23]M02!B42,[23]M03!B42,[23]M04!B42,[23]M05!B42,[23]M06!B42,[23]M07!B42,[23]M08!B42,[23]M09!B42,[23]M10!B42,[23]M11!B42,[23]M12!B42)</f>
        <v>581.76702898798783</v>
      </c>
      <c r="C58" s="227">
        <f>SUM([23]M01!C42,[23]M02!C42,[23]M03!C42,[23]M04!C42,[23]M05!C42,[23]M06!C42,[23]M07!C42,[23]M08!C42,[23]M09!C42,[23]M10!C42,[23]M11!C42,[23]M12!C42)</f>
        <v>0</v>
      </c>
      <c r="D58" s="227">
        <f>SUM([23]M01!D42,[23]M02!D42,[23]M03!D42,[23]M04!D42,[23]M05!D42,[23]M06!D42,[23]M07!D42,[23]M08!D42,[23]M09!D42,[23]M10!D42,[23]M11!D42,[23]M12!D42)</f>
        <v>1.891583548010076</v>
      </c>
      <c r="E58" s="227">
        <f>SUM([23]M01!E42,[23]M02!E42,[23]M03!E42,[23]M04!E42,[23]M05!E42,[23]M06!E42,[23]M07!E42,[23]M08!E42,[23]M09!E42,[23]M10!E42,[23]M11!E42,[23]M12!E42)</f>
        <v>2993.1157008012769</v>
      </c>
      <c r="F58" s="227">
        <f>SUM([23]M01!F42,[23]M02!F42,[23]M03!F42,[23]M04!F42,[23]M05!F42,[23]M06!F42,[23]M07!F42,[23]M08!F42,[23]M09!F42,[23]M10!F42,[23]M11!F42,[23]M12!F42)</f>
        <v>4724.8087146319949</v>
      </c>
      <c r="G58" s="227">
        <f>SUM([23]M01!G42,[23]M02!G42,[23]M03!G42,[23]M04!G42,[23]M05!G42,[23]M06!G42,[23]M07!G42,[23]M08!G42,[23]M09!G42,[23]M10!G42,[23]M11!G42,[23]M12!G42)</f>
        <v>6031.8395827045752</v>
      </c>
      <c r="H58" s="227">
        <f>SUM([23]M01!H42,[23]M02!H42,[23]M03!H42,[23]M04!H42,[23]M05!H42,[23]M06!H42,[23]M07!H42,[23]M08!H42,[23]M09!H42,[23]M10!H42,[23]M11!H42,[23]M12!H42)</f>
        <v>22413.583636321175</v>
      </c>
      <c r="I58" s="227">
        <f>SUM([23]M01!I42,[23]M02!I42,[23]M03!I42,[23]M04!I42,[23]M05!I42,[23]M06!I42,[23]M07!I42,[23]M08!I42,[23]M09!I42,[23]M10!I42,[23]M11!I42,[23]M12!I42)</f>
        <v>35.729911462412552</v>
      </c>
      <c r="J58" s="227">
        <f>SUM([23]M01!J42,[23]M02!J42,[23]M03!J42,[23]M04!J42,[23]M05!J42,[23]M06!J42,[23]M07!J42,[23]M08!J42,[23]M09!J42,[23]M10!J42,[23]M11!J42,[23]M12!J42)</f>
        <v>3233.556987348336</v>
      </c>
      <c r="K58" s="228">
        <f>SUM([23]M01!K42,[23]M02!K42,[23]M03!K42,[23]M04!K42,[23]M05!K42,[23]M06!K42,[23]M07!K42,[23]M08!K42,[23]M09!K42,[23]M10!K42,[23]M11!K42,[23]M12!K42)</f>
        <v>1195.2706263925893</v>
      </c>
      <c r="L58" s="229">
        <f>SUM(B58:K58)</f>
        <v>41211.563772198351</v>
      </c>
      <c r="M58" s="230">
        <f>L58/(L57+L58)</f>
        <v>0.52475592725744868</v>
      </c>
      <c r="N58" s="163"/>
    </row>
    <row r="59" spans="1:14" ht="20.25" customHeight="1">
      <c r="A59" s="210" t="s">
        <v>133</v>
      </c>
      <c r="B59" s="208"/>
      <c r="C59" s="208"/>
      <c r="D59" s="208"/>
      <c r="E59" s="208"/>
      <c r="F59" s="208"/>
      <c r="G59" s="208"/>
      <c r="H59" s="208"/>
      <c r="I59" s="208"/>
      <c r="J59" s="208"/>
      <c r="K59" s="208"/>
      <c r="L59" s="216">
        <f>L60+L61</f>
        <v>0</v>
      </c>
      <c r="M59" s="211">
        <f>IFERROR(L59/B7,0)</f>
        <v>0</v>
      </c>
      <c r="N59" s="163"/>
    </row>
    <row r="60" spans="1:14" ht="15" customHeight="1">
      <c r="A60" s="218" t="s">
        <v>134</v>
      </c>
      <c r="B60" s="219">
        <f>SUM([23]M01!B44,[23]M02!B44,[23]M03!B44,[23]M04!B44,[23]M05!B44,[23]M06!B44,[23]M07!B44,[23]M08!B44,[23]M09!B44,[23]M10!B44,[23]M11!B44,[23]M12!B44)</f>
        <v>0</v>
      </c>
      <c r="C60" s="220">
        <f>SUM([23]M01!C44,[23]M02!C44,[23]M03!C44,[23]M04!C44,[23]M05!C44,[23]M06!C44,[23]M07!C44,[23]M08!C44,[23]M09!C44,[23]M10!C44,[23]M11!C44,[23]M12!C44)</f>
        <v>0</v>
      </c>
      <c r="D60" s="220">
        <f>SUM([23]M01!D44,[23]M02!D44,[23]M03!D44,[23]M04!D44,[23]M05!D44,[23]M06!D44,[23]M07!D44,[23]M08!D44,[23]M09!D44,[23]M10!D44,[23]M11!D44,[23]M12!D44)</f>
        <v>0</v>
      </c>
      <c r="E60" s="220">
        <f>SUM([23]M01!E44,[23]M02!E44,[23]M03!E44,[23]M04!E44,[23]M05!E44,[23]M06!E44,[23]M07!E44,[23]M08!E44,[23]M09!E44,[23]M10!E44,[23]M11!E44,[23]M12!E44)</f>
        <v>0</v>
      </c>
      <c r="F60" s="220">
        <f>SUM([23]M01!F44,[23]M02!F44,[23]M03!F44,[23]M04!F44,[23]M05!F44,[23]M06!F44,[23]M07!F44,[23]M08!F44,[23]M09!F44,[23]M10!F44,[23]M11!F44,[23]M12!F44)</f>
        <v>0</v>
      </c>
      <c r="G60" s="220">
        <f>SUM([23]M01!G44,[23]M02!G44,[23]M03!G44,[23]M04!G44,[23]M05!G44,[23]M06!G44,[23]M07!G44,[23]M08!G44,[23]M09!G44,[23]M10!G44,[23]M11!G44,[23]M12!G44)</f>
        <v>0</v>
      </c>
      <c r="H60" s="220">
        <f>SUM([23]M01!H44,[23]M02!H44,[23]M03!H44,[23]M04!H44,[23]M05!H44,[23]M06!H44,[23]M07!H44,[23]M08!H44,[23]M09!H44,[23]M10!H44,[23]M11!H44,[23]M12!H44)</f>
        <v>0</v>
      </c>
      <c r="I60" s="220">
        <f>SUM([23]M01!I44,[23]M02!I44,[23]M03!I44,[23]M04!I44,[23]M05!I44,[23]M06!I44,[23]M07!I44,[23]M08!I44,[23]M09!I44,[23]M10!I44,[23]M11!I44,[23]M12!I44)</f>
        <v>0</v>
      </c>
      <c r="J60" s="220">
        <f>SUM([23]M01!J44,[23]M02!J44,[23]M03!J44,[23]M04!J44,[23]M05!J44,[23]M06!J44,[23]M07!J44,[23]M08!J44,[23]M09!J44,[23]M10!J44,[23]M11!J44,[23]M12!J44)</f>
        <v>0</v>
      </c>
      <c r="K60" s="221">
        <f>SUM([23]M01!K44,[23]M02!K44,[23]M03!K44,[23]M04!K44,[23]M05!K44,[23]M06!K44,[23]M07!K44,[23]M08!K44,[23]M09!K44,[23]M10!K44,[23]M11!K44,[23]M12!K44)</f>
        <v>0</v>
      </c>
      <c r="L60" s="222">
        <f>SUM(B60:K60)</f>
        <v>0</v>
      </c>
      <c r="M60" s="223" t="e">
        <f>L60/(L61+L60)</f>
        <v>#DIV/0!</v>
      </c>
      <c r="N60" s="163"/>
    </row>
    <row r="61" spans="1:14" ht="15" customHeight="1">
      <c r="A61" s="225" t="s">
        <v>135</v>
      </c>
      <c r="B61" s="226">
        <f>SUM([23]M01!B45,[23]M02!B45,[23]M03!B45,[23]M04!B45,[23]M05!B45,[23]M06!B45,[23]M07!B45,[23]M08!B45,[23]M09!B45,[23]M10!B45,[23]M11!B45,[23]M12!B45)</f>
        <v>0</v>
      </c>
      <c r="C61" s="227">
        <f>SUM([23]M01!C45,[23]M02!C45,[23]M03!C45,[23]M04!C45,[23]M05!C45,[23]M06!C45,[23]M07!C45,[23]M08!C45,[23]M09!C45,[23]M10!C45,[23]M11!C45,[23]M12!C45)</f>
        <v>0</v>
      </c>
      <c r="D61" s="227">
        <f>SUM([23]M01!D45,[23]M02!D45,[23]M03!D45,[23]M04!D45,[23]M05!D45,[23]M06!D45,[23]M07!D45,[23]M08!D45,[23]M09!D45,[23]M10!D45,[23]M11!D45,[23]M12!D45)</f>
        <v>0</v>
      </c>
      <c r="E61" s="227">
        <f>SUM([23]M01!E45,[23]M02!E45,[23]M03!E45,[23]M04!E45,[23]M05!E45,[23]M06!E45,[23]M07!E45,[23]M08!E45,[23]M09!E45,[23]M10!E45,[23]M11!E45,[23]M12!E45)</f>
        <v>0</v>
      </c>
      <c r="F61" s="227">
        <f>SUM([23]M01!F45,[23]M02!F45,[23]M03!F45,[23]M04!F45,[23]M05!F45,[23]M06!F45,[23]M07!F45,[23]M08!F45,[23]M09!F45,[23]M10!F45,[23]M11!F45,[23]M12!F45)</f>
        <v>0</v>
      </c>
      <c r="G61" s="227">
        <f>SUM([23]M01!G45,[23]M02!G45,[23]M03!G45,[23]M04!G45,[23]M05!G45,[23]M06!G45,[23]M07!G45,[23]M08!G45,[23]M09!G45,[23]M10!G45,[23]M11!G45,[23]M12!G45)</f>
        <v>0</v>
      </c>
      <c r="H61" s="227">
        <f>SUM([23]M01!H45,[23]M02!H45,[23]M03!H45,[23]M04!H45,[23]M05!H45,[23]M06!H45,[23]M07!H45,[23]M08!H45,[23]M09!H45,[23]M10!H45,[23]M11!H45,[23]M12!H45)</f>
        <v>0</v>
      </c>
      <c r="I61" s="227">
        <f>SUM([23]M01!I45,[23]M02!I45,[23]M03!I45,[23]M04!I45,[23]M05!I45,[23]M06!I45,[23]M07!I45,[23]M08!I45,[23]M09!I45,[23]M10!I45,[23]M11!I45,[23]M12!I45)</f>
        <v>0</v>
      </c>
      <c r="J61" s="227">
        <f>SUM([23]M01!J45,[23]M02!J45,[23]M03!J45,[23]M04!J45,[23]M05!J45,[23]M06!J45,[23]M07!J45,[23]M08!J45,[23]M09!J45,[23]M10!J45,[23]M11!J45,[23]M12!J45)</f>
        <v>0</v>
      </c>
      <c r="K61" s="228">
        <f>SUM([23]M01!K45,[23]M02!K45,[23]M03!K45,[23]M04!K45,[23]M05!K45,[23]M06!K45,[23]M07!K45,[23]M08!K45,[23]M09!K45,[23]M10!K45,[23]M11!K45,[23]M12!K45)</f>
        <v>0</v>
      </c>
      <c r="L61" s="229">
        <f>SUM(B61:K61)</f>
        <v>0</v>
      </c>
      <c r="M61" s="230" t="e">
        <f>L61/(L60+L61)</f>
        <v>#DIV/0!</v>
      </c>
      <c r="N61" s="163"/>
    </row>
    <row r="62" spans="1:14" ht="20.25" hidden="1" customHeight="1">
      <c r="A62" s="210" t="s">
        <v>136</v>
      </c>
      <c r="B62" s="231"/>
      <c r="C62" s="231"/>
      <c r="D62" s="231"/>
      <c r="E62" s="231"/>
      <c r="F62" s="231"/>
      <c r="G62" s="232">
        <f>SUM([23]M01!G46,[23]M02!G46,[23]M03!G46,[23]M04!G46,[23]M05!G46,[23]M06!G46,[23]M07!G46,[23]M08!G46,[23]M09!G46,[23]M10!G46,[23]M11!G46,[23]M12!G46)</f>
        <v>0</v>
      </c>
      <c r="H62" s="233">
        <f>G62/L51</f>
        <v>0</v>
      </c>
      <c r="I62" s="231"/>
      <c r="J62" s="231"/>
      <c r="K62" s="231"/>
      <c r="L62" s="209"/>
      <c r="N62" s="163"/>
    </row>
    <row r="63" spans="1:14" ht="15" customHeight="1">
      <c r="A63" s="231"/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09"/>
      <c r="N63" s="163"/>
    </row>
    <row r="64" spans="1:14" ht="20.25" customHeight="1">
      <c r="A64" s="234" t="s">
        <v>137</v>
      </c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216">
        <f>L65+L66</f>
        <v>127459.10075540218</v>
      </c>
      <c r="M64" s="236">
        <f>L64/(B3+B7)</f>
        <v>0.99999999999971823</v>
      </c>
      <c r="N64" s="237"/>
    </row>
    <row r="65" spans="1:14" ht="15" customHeight="1">
      <c r="A65" s="238" t="s">
        <v>64</v>
      </c>
      <c r="B65" s="239">
        <f>B54+B57</f>
        <v>5422.2900694982509</v>
      </c>
      <c r="C65" s="240">
        <f t="shared" ref="C65:K65" si="2">C54+C57</f>
        <v>7705.0364707877252</v>
      </c>
      <c r="D65" s="240">
        <f t="shared" si="2"/>
        <v>3621.8856472683437</v>
      </c>
      <c r="E65" s="240">
        <f t="shared" si="2"/>
        <v>12189.042262810459</v>
      </c>
      <c r="F65" s="240">
        <f t="shared" si="2"/>
        <v>8061.5699732489429</v>
      </c>
      <c r="G65" s="240">
        <f t="shared" si="2"/>
        <v>3633.6332244815858</v>
      </c>
      <c r="H65" s="240">
        <f t="shared" si="2"/>
        <v>1114.2551862724092</v>
      </c>
      <c r="I65" s="240">
        <f t="shared" si="2"/>
        <v>2030.6861828391463</v>
      </c>
      <c r="J65" s="240">
        <f t="shared" si="2"/>
        <v>10599.141960075582</v>
      </c>
      <c r="K65" s="241">
        <f t="shared" si="2"/>
        <v>5764.047007946011</v>
      </c>
      <c r="L65" s="222">
        <f>SUM(B65:K65)</f>
        <v>60141.587985228463</v>
      </c>
      <c r="M65" s="223">
        <f>L65/(L66+L65)</f>
        <v>0.47185008860718364</v>
      </c>
      <c r="N65" s="237"/>
    </row>
    <row r="66" spans="1:14" ht="15" customHeight="1">
      <c r="A66" s="242" t="s">
        <v>121</v>
      </c>
      <c r="B66" s="243">
        <f>B55+B58+B60+B61</f>
        <v>581.77215784055602</v>
      </c>
      <c r="C66" s="244">
        <f t="shared" ref="C66:K66" si="3">C55+C58+C60+C61</f>
        <v>0</v>
      </c>
      <c r="D66" s="244">
        <f t="shared" si="3"/>
        <v>1.891583548010076</v>
      </c>
      <c r="E66" s="244">
        <f t="shared" si="3"/>
        <v>4478.0673336405125</v>
      </c>
      <c r="F66" s="244">
        <f t="shared" si="3"/>
        <v>5592.5665163746835</v>
      </c>
      <c r="G66" s="244">
        <f t="shared" si="3"/>
        <v>9190.2270670251055</v>
      </c>
      <c r="H66" s="244">
        <f t="shared" si="3"/>
        <v>40487.928573692712</v>
      </c>
      <c r="I66" s="244">
        <f t="shared" si="3"/>
        <v>35.729911462412552</v>
      </c>
      <c r="J66" s="244">
        <f t="shared" si="3"/>
        <v>5706.2928421005745</v>
      </c>
      <c r="K66" s="245">
        <f t="shared" si="3"/>
        <v>1243.0367844891562</v>
      </c>
      <c r="L66" s="229">
        <f>SUM(B66:K66)</f>
        <v>67317.512770173722</v>
      </c>
      <c r="M66" s="230">
        <f>L66/(L65+L66)</f>
        <v>0.52814991139281642</v>
      </c>
      <c r="N66" s="237"/>
    </row>
    <row r="67" spans="1:14" ht="15" customHeight="1">
      <c r="B67" s="233">
        <f>B65/$L$64</f>
        <v>4.2541411616450892E-2</v>
      </c>
      <c r="C67" s="233">
        <f t="shared" ref="C67:K67" si="4">C65/$L$64</f>
        <v>6.0451049984841181E-2</v>
      </c>
      <c r="D67" s="233">
        <f t="shared" si="4"/>
        <v>2.8416061511518511E-2</v>
      </c>
      <c r="E67" s="233">
        <f t="shared" si="4"/>
        <v>9.5631007833654774E-2</v>
      </c>
      <c r="F67" s="233">
        <f t="shared" si="4"/>
        <v>6.3248288474271733E-2</v>
      </c>
      <c r="G67" s="233">
        <f t="shared" si="4"/>
        <v>2.8508228937332899E-2</v>
      </c>
      <c r="H67" s="233">
        <f t="shared" si="4"/>
        <v>8.742060627045363E-3</v>
      </c>
      <c r="I67" s="233">
        <f t="shared" si="4"/>
        <v>1.5932061114538175E-2</v>
      </c>
      <c r="J67" s="233">
        <f t="shared" si="4"/>
        <v>8.3157200209780638E-2</v>
      </c>
      <c r="K67" s="233">
        <f t="shared" si="4"/>
        <v>4.5222718297749404E-2</v>
      </c>
      <c r="N67" s="163"/>
    </row>
    <row r="68" spans="1:14" ht="15" customHeight="1">
      <c r="B68" s="233">
        <f t="shared" ref="B68:K68" si="5">B66/$L$64</f>
        <v>4.5643830404624788E-3</v>
      </c>
      <c r="C68" s="233">
        <f t="shared" si="5"/>
        <v>0</v>
      </c>
      <c r="D68" s="233">
        <f t="shared" si="5"/>
        <v>1.4840709975194956E-5</v>
      </c>
      <c r="E68" s="233">
        <f t="shared" si="5"/>
        <v>3.5133366759224655E-2</v>
      </c>
      <c r="F68" s="233">
        <f t="shared" si="5"/>
        <v>4.3877341698079178E-2</v>
      </c>
      <c r="G68" s="233">
        <f t="shared" si="5"/>
        <v>7.2103341484115957E-2</v>
      </c>
      <c r="H68" s="233">
        <f t="shared" si="5"/>
        <v>0.31765427759756643</v>
      </c>
      <c r="I68" s="233">
        <f t="shared" si="5"/>
        <v>2.8032452175368256E-4</v>
      </c>
      <c r="J68" s="233">
        <f t="shared" si="5"/>
        <v>4.4769599097134079E-2</v>
      </c>
      <c r="K68" s="233">
        <f t="shared" si="5"/>
        <v>9.7524364845047902E-3</v>
      </c>
      <c r="N68" s="163"/>
    </row>
    <row r="69" spans="1:14" ht="15" customHeight="1">
      <c r="B69" s="246"/>
      <c r="C69" s="246"/>
      <c r="D69" s="246"/>
      <c r="E69" s="246"/>
      <c r="F69" s="246"/>
      <c r="G69" s="246"/>
      <c r="H69" s="246"/>
      <c r="I69" s="246"/>
      <c r="J69" s="246"/>
      <c r="K69" s="246"/>
      <c r="L69" s="247"/>
      <c r="M69" s="248"/>
    </row>
    <row r="70" spans="1:14" ht="15" customHeight="1">
      <c r="B70" s="246"/>
      <c r="C70" s="246"/>
      <c r="D70" s="246"/>
      <c r="E70" s="246"/>
      <c r="F70" s="246"/>
      <c r="G70" s="246"/>
      <c r="H70" s="246"/>
      <c r="I70" s="246"/>
      <c r="J70" s="246"/>
      <c r="K70" s="246"/>
    </row>
    <row r="71" spans="1:14" ht="15" customHeight="1"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7"/>
    </row>
    <row r="72" spans="1:14" ht="15" customHeight="1"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7"/>
    </row>
  </sheetData>
  <conditionalFormatting sqref="B29:K30">
    <cfRule type="cellIs" dxfId="25" priority="16" operator="equal">
      <formula>0</formula>
    </cfRule>
  </conditionalFormatting>
  <conditionalFormatting sqref="B44:K45">
    <cfRule type="cellIs" dxfId="24" priority="1" operator="equal">
      <formula>0</formula>
    </cfRule>
  </conditionalFormatting>
  <conditionalFormatting sqref="B19:L20 B38:K38">
    <cfRule type="cellIs" dxfId="23" priority="18" operator="equal">
      <formula>0</formula>
    </cfRule>
  </conditionalFormatting>
  <conditionalFormatting sqref="B22:L23">
    <cfRule type="cellIs" dxfId="22" priority="11" operator="equal">
      <formula>0</formula>
    </cfRule>
  </conditionalFormatting>
  <conditionalFormatting sqref="B25:L27">
    <cfRule type="cellIs" dxfId="21" priority="14" operator="equal">
      <formula>0</formula>
    </cfRule>
  </conditionalFormatting>
  <conditionalFormatting sqref="B54:L55">
    <cfRule type="cellIs" dxfId="20" priority="7" operator="equal">
      <formula>0</formula>
    </cfRule>
  </conditionalFormatting>
  <conditionalFormatting sqref="B57:L58">
    <cfRule type="cellIs" dxfId="19" priority="6" operator="equal">
      <formula>0</formula>
    </cfRule>
  </conditionalFormatting>
  <conditionalFormatting sqref="B60:L61">
    <cfRule type="cellIs" dxfId="18" priority="5" operator="equal">
      <formula>0</formula>
    </cfRule>
  </conditionalFormatting>
  <conditionalFormatting sqref="B65:L66">
    <cfRule type="cellIs" dxfId="17" priority="3" operator="equal">
      <formula>0</formula>
    </cfRule>
  </conditionalFormatting>
  <conditionalFormatting sqref="L51">
    <cfRule type="cellIs" dxfId="16" priority="2" stopIfTrue="1" operator="notEqual">
      <formula>$M$51</formula>
    </cfRule>
  </conditionalFormatting>
  <conditionalFormatting sqref="M51">
    <cfRule type="cellIs" dxfId="15" priority="8" stopIfTrue="1" operator="notEqual">
      <formula>$L$51</formula>
    </cfRule>
  </conditionalFormatting>
  <conditionalFormatting sqref="N12:N13">
    <cfRule type="cellIs" dxfId="14" priority="10" stopIfTrue="1" operator="notEqual">
      <formula>8760</formula>
    </cfRule>
  </conditionalFormatting>
  <conditionalFormatting sqref="N14">
    <cfRule type="cellIs" dxfId="13" priority="9" stopIfTrue="1" operator="notEqual">
      <formula>1</formula>
    </cfRule>
  </conditionalFormatting>
  <printOptions horizontalCentered="1"/>
  <pageMargins left="0.39370078740157483" right="0.39370078740157483" top="0.98425196850393704" bottom="0.39370078740157483" header="0.59055118110236227" footer="0.31496062992125984"/>
  <pageSetup paperSize="9" scale="76" orientation="portrait" r:id="rId1"/>
  <headerFooter>
    <oddHeader>&amp;C&amp;Z&amp;F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885B0-3FF9-4658-8EFD-47A3D45D2247}">
  <sheetPr>
    <pageSetUpPr fitToPage="1"/>
  </sheetPr>
  <dimension ref="A1:N72"/>
  <sheetViews>
    <sheetView topLeftCell="A45" zoomScale="70" zoomScaleNormal="70" workbookViewId="0">
      <selection activeCell="B57" sqref="B57"/>
    </sheetView>
  </sheetViews>
  <sheetFormatPr baseColWidth="10" defaultColWidth="10.7109375" defaultRowHeight="15" customHeight="1"/>
  <cols>
    <col min="1" max="1" width="12.7109375" style="94" customWidth="1"/>
    <col min="2" max="256" width="10.7109375" style="94"/>
    <col min="257" max="257" width="12.7109375" style="94" customWidth="1"/>
    <col min="258" max="512" width="10.7109375" style="94"/>
    <col min="513" max="513" width="12.7109375" style="94" customWidth="1"/>
    <col min="514" max="768" width="10.7109375" style="94"/>
    <col min="769" max="769" width="12.7109375" style="94" customWidth="1"/>
    <col min="770" max="1024" width="10.7109375" style="94"/>
    <col min="1025" max="1025" width="12.7109375" style="94" customWidth="1"/>
    <col min="1026" max="1280" width="10.7109375" style="94"/>
    <col min="1281" max="1281" width="12.7109375" style="94" customWidth="1"/>
    <col min="1282" max="1536" width="10.7109375" style="94"/>
    <col min="1537" max="1537" width="12.7109375" style="94" customWidth="1"/>
    <col min="1538" max="1792" width="10.7109375" style="94"/>
    <col min="1793" max="1793" width="12.7109375" style="94" customWidth="1"/>
    <col min="1794" max="2048" width="10.7109375" style="94"/>
    <col min="2049" max="2049" width="12.7109375" style="94" customWidth="1"/>
    <col min="2050" max="2304" width="10.7109375" style="94"/>
    <col min="2305" max="2305" width="12.7109375" style="94" customWidth="1"/>
    <col min="2306" max="2560" width="10.7109375" style="94"/>
    <col min="2561" max="2561" width="12.7109375" style="94" customWidth="1"/>
    <col min="2562" max="2816" width="10.7109375" style="94"/>
    <col min="2817" max="2817" width="12.7109375" style="94" customWidth="1"/>
    <col min="2818" max="3072" width="10.7109375" style="94"/>
    <col min="3073" max="3073" width="12.7109375" style="94" customWidth="1"/>
    <col min="3074" max="3328" width="10.7109375" style="94"/>
    <col min="3329" max="3329" width="12.7109375" style="94" customWidth="1"/>
    <col min="3330" max="3584" width="10.7109375" style="94"/>
    <col min="3585" max="3585" width="12.7109375" style="94" customWidth="1"/>
    <col min="3586" max="3840" width="10.7109375" style="94"/>
    <col min="3841" max="3841" width="12.7109375" style="94" customWidth="1"/>
    <col min="3842" max="4096" width="10.7109375" style="94"/>
    <col min="4097" max="4097" width="12.7109375" style="94" customWidth="1"/>
    <col min="4098" max="4352" width="10.7109375" style="94"/>
    <col min="4353" max="4353" width="12.7109375" style="94" customWidth="1"/>
    <col min="4354" max="4608" width="10.7109375" style="94"/>
    <col min="4609" max="4609" width="12.7109375" style="94" customWidth="1"/>
    <col min="4610" max="4864" width="10.7109375" style="94"/>
    <col min="4865" max="4865" width="12.7109375" style="94" customWidth="1"/>
    <col min="4866" max="5120" width="10.7109375" style="94"/>
    <col min="5121" max="5121" width="12.7109375" style="94" customWidth="1"/>
    <col min="5122" max="5376" width="10.7109375" style="94"/>
    <col min="5377" max="5377" width="12.7109375" style="94" customWidth="1"/>
    <col min="5378" max="5632" width="10.7109375" style="94"/>
    <col min="5633" max="5633" width="12.7109375" style="94" customWidth="1"/>
    <col min="5634" max="5888" width="10.7109375" style="94"/>
    <col min="5889" max="5889" width="12.7109375" style="94" customWidth="1"/>
    <col min="5890" max="6144" width="10.7109375" style="94"/>
    <col min="6145" max="6145" width="12.7109375" style="94" customWidth="1"/>
    <col min="6146" max="6400" width="10.7109375" style="94"/>
    <col min="6401" max="6401" width="12.7109375" style="94" customWidth="1"/>
    <col min="6402" max="6656" width="10.7109375" style="94"/>
    <col min="6657" max="6657" width="12.7109375" style="94" customWidth="1"/>
    <col min="6658" max="6912" width="10.7109375" style="94"/>
    <col min="6913" max="6913" width="12.7109375" style="94" customWidth="1"/>
    <col min="6914" max="7168" width="10.7109375" style="94"/>
    <col min="7169" max="7169" width="12.7109375" style="94" customWidth="1"/>
    <col min="7170" max="7424" width="10.7109375" style="94"/>
    <col min="7425" max="7425" width="12.7109375" style="94" customWidth="1"/>
    <col min="7426" max="7680" width="10.7109375" style="94"/>
    <col min="7681" max="7681" width="12.7109375" style="94" customWidth="1"/>
    <col min="7682" max="7936" width="10.7109375" style="94"/>
    <col min="7937" max="7937" width="12.7109375" style="94" customWidth="1"/>
    <col min="7938" max="8192" width="10.7109375" style="94"/>
    <col min="8193" max="8193" width="12.7109375" style="94" customWidth="1"/>
    <col min="8194" max="8448" width="10.7109375" style="94"/>
    <col min="8449" max="8449" width="12.7109375" style="94" customWidth="1"/>
    <col min="8450" max="8704" width="10.7109375" style="94"/>
    <col min="8705" max="8705" width="12.7109375" style="94" customWidth="1"/>
    <col min="8706" max="8960" width="10.7109375" style="94"/>
    <col min="8961" max="8961" width="12.7109375" style="94" customWidth="1"/>
    <col min="8962" max="9216" width="10.7109375" style="94"/>
    <col min="9217" max="9217" width="12.7109375" style="94" customWidth="1"/>
    <col min="9218" max="9472" width="10.7109375" style="94"/>
    <col min="9473" max="9473" width="12.7109375" style="94" customWidth="1"/>
    <col min="9474" max="9728" width="10.7109375" style="94"/>
    <col min="9729" max="9729" width="12.7109375" style="94" customWidth="1"/>
    <col min="9730" max="9984" width="10.7109375" style="94"/>
    <col min="9985" max="9985" width="12.7109375" style="94" customWidth="1"/>
    <col min="9986" max="10240" width="10.7109375" style="94"/>
    <col min="10241" max="10241" width="12.7109375" style="94" customWidth="1"/>
    <col min="10242" max="10496" width="10.7109375" style="94"/>
    <col min="10497" max="10497" width="12.7109375" style="94" customWidth="1"/>
    <col min="10498" max="10752" width="10.7109375" style="94"/>
    <col min="10753" max="10753" width="12.7109375" style="94" customWidth="1"/>
    <col min="10754" max="11008" width="10.7109375" style="94"/>
    <col min="11009" max="11009" width="12.7109375" style="94" customWidth="1"/>
    <col min="11010" max="11264" width="10.7109375" style="94"/>
    <col min="11265" max="11265" width="12.7109375" style="94" customWidth="1"/>
    <col min="11266" max="11520" width="10.7109375" style="94"/>
    <col min="11521" max="11521" width="12.7109375" style="94" customWidth="1"/>
    <col min="11522" max="11776" width="10.7109375" style="94"/>
    <col min="11777" max="11777" width="12.7109375" style="94" customWidth="1"/>
    <col min="11778" max="12032" width="10.7109375" style="94"/>
    <col min="12033" max="12033" width="12.7109375" style="94" customWidth="1"/>
    <col min="12034" max="12288" width="10.7109375" style="94"/>
    <col min="12289" max="12289" width="12.7109375" style="94" customWidth="1"/>
    <col min="12290" max="12544" width="10.7109375" style="94"/>
    <col min="12545" max="12545" width="12.7109375" style="94" customWidth="1"/>
    <col min="12546" max="12800" width="10.7109375" style="94"/>
    <col min="12801" max="12801" width="12.7109375" style="94" customWidth="1"/>
    <col min="12802" max="13056" width="10.7109375" style="94"/>
    <col min="13057" max="13057" width="12.7109375" style="94" customWidth="1"/>
    <col min="13058" max="13312" width="10.7109375" style="94"/>
    <col min="13313" max="13313" width="12.7109375" style="94" customWidth="1"/>
    <col min="13314" max="13568" width="10.7109375" style="94"/>
    <col min="13569" max="13569" width="12.7109375" style="94" customWidth="1"/>
    <col min="13570" max="13824" width="10.7109375" style="94"/>
    <col min="13825" max="13825" width="12.7109375" style="94" customWidth="1"/>
    <col min="13826" max="14080" width="10.7109375" style="94"/>
    <col min="14081" max="14081" width="12.7109375" style="94" customWidth="1"/>
    <col min="14082" max="14336" width="10.7109375" style="94"/>
    <col min="14337" max="14337" width="12.7109375" style="94" customWidth="1"/>
    <col min="14338" max="14592" width="10.7109375" style="94"/>
    <col min="14593" max="14593" width="12.7109375" style="94" customWidth="1"/>
    <col min="14594" max="14848" width="10.7109375" style="94"/>
    <col min="14849" max="14849" width="12.7109375" style="94" customWidth="1"/>
    <col min="14850" max="15104" width="10.7109375" style="94"/>
    <col min="15105" max="15105" width="12.7109375" style="94" customWidth="1"/>
    <col min="15106" max="15360" width="10.7109375" style="94"/>
    <col min="15361" max="15361" width="12.7109375" style="94" customWidth="1"/>
    <col min="15362" max="15616" width="10.7109375" style="94"/>
    <col min="15617" max="15617" width="12.7109375" style="94" customWidth="1"/>
    <col min="15618" max="15872" width="10.7109375" style="94"/>
    <col min="15873" max="15873" width="12.7109375" style="94" customWidth="1"/>
    <col min="15874" max="16128" width="10.7109375" style="94"/>
    <col min="16129" max="16129" width="12.7109375" style="94" customWidth="1"/>
    <col min="16130" max="16384" width="10.7109375" style="94"/>
  </cols>
  <sheetData>
    <row r="1" spans="1:14" ht="22.15" customHeight="1">
      <c r="A1" s="92" t="s">
        <v>0</v>
      </c>
      <c r="B1" s="93">
        <f>[20]Input!B1</f>
        <v>4</v>
      </c>
      <c r="C1" s="93" t="str">
        <f>[20]Input!C1</f>
        <v>2028-2029</v>
      </c>
    </row>
    <row r="2" spans="1:14" ht="15" customHeight="1">
      <c r="A2" s="95"/>
      <c r="B2" s="96" t="s">
        <v>2</v>
      </c>
      <c r="C2" s="97"/>
      <c r="D2" s="96" t="s">
        <v>3</v>
      </c>
      <c r="E2" s="98"/>
      <c r="F2" s="99" t="s">
        <v>69</v>
      </c>
    </row>
    <row r="3" spans="1:14" ht="15" customHeight="1">
      <c r="A3" s="100" t="s">
        <v>5</v>
      </c>
      <c r="B3" s="101">
        <f>[20]Input!B3</f>
        <v>122359.0729339665</v>
      </c>
      <c r="C3" s="102">
        <f>C4+C5</f>
        <v>1</v>
      </c>
      <c r="D3" s="103">
        <f>[20]Input!D3</f>
        <v>3407.1499999999996</v>
      </c>
      <c r="E3" s="102">
        <f>E4+E5</f>
        <v>0.99999999999999989</v>
      </c>
      <c r="F3" s="104" t="s">
        <v>6</v>
      </c>
      <c r="H3" s="105" t="s">
        <v>9</v>
      </c>
      <c r="I3" s="106">
        <v>0.45</v>
      </c>
      <c r="J3" s="107">
        <f>I3*B3</f>
        <v>55061.582820284922</v>
      </c>
      <c r="K3" s="108" t="s">
        <v>8</v>
      </c>
      <c r="L3" s="109">
        <f>L54+L57</f>
        <v>57846.575465583199</v>
      </c>
      <c r="M3" s="110">
        <f>L3/(L4+L3)</f>
        <v>0.47276081845439644</v>
      </c>
    </row>
    <row r="4" spans="1:14" ht="15" customHeight="1">
      <c r="A4" s="111" t="s">
        <v>10</v>
      </c>
      <c r="B4" s="112">
        <f>[20]Input!B4</f>
        <v>104647.59635209976</v>
      </c>
      <c r="C4" s="113">
        <f>B4/B3</f>
        <v>0.85524999366883825</v>
      </c>
      <c r="D4" s="114">
        <f>[20]Input!D4</f>
        <v>3132.3899999999994</v>
      </c>
      <c r="E4" s="113">
        <f>D4/D3</f>
        <v>0.91935782105278596</v>
      </c>
      <c r="F4" s="115">
        <f>[20]Input!F4</f>
        <v>33.408227057326762</v>
      </c>
      <c r="H4" s="105" t="s">
        <v>11</v>
      </c>
      <c r="I4" s="106">
        <v>0.55000000000000004</v>
      </c>
      <c r="J4" s="107">
        <f>I4*B3</f>
        <v>67297.490113681575</v>
      </c>
      <c r="K4" s="108" t="s">
        <v>8</v>
      </c>
      <c r="L4" s="109">
        <f>L55+L58</f>
        <v>64512.497468383328</v>
      </c>
      <c r="M4" s="110">
        <f>L4/(L3+L4)</f>
        <v>0.52723918154560356</v>
      </c>
    </row>
    <row r="5" spans="1:14" ht="15" customHeight="1">
      <c r="A5" s="116" t="s">
        <v>12</v>
      </c>
      <c r="B5" s="117">
        <f>[20]Input!B5</f>
        <v>17711.476581866733</v>
      </c>
      <c r="C5" s="118">
        <f>B5/B3</f>
        <v>0.14475000633116175</v>
      </c>
      <c r="D5" s="119">
        <f>[20]Input!D5</f>
        <v>274.76000000000005</v>
      </c>
      <c r="E5" s="118">
        <f>D5/D3</f>
        <v>8.0642178947213969E-2</v>
      </c>
      <c r="F5" s="120">
        <f>[20]Input!F5</f>
        <v>64.461626808366319</v>
      </c>
    </row>
    <row r="6" spans="1:14" ht="15" customHeight="1">
      <c r="B6" s="121"/>
    </row>
    <row r="7" spans="1:14" ht="15" customHeight="1">
      <c r="A7" s="92" t="s">
        <v>70</v>
      </c>
      <c r="B7" s="101">
        <f>[20]Input!B7</f>
        <v>0</v>
      </c>
      <c r="C7" s="102">
        <f>[20]Input!C7</f>
        <v>1</v>
      </c>
      <c r="D7" s="103">
        <f>[20]Input!D7</f>
        <v>0</v>
      </c>
      <c r="E7" s="102">
        <f>[20]Input!E7</f>
        <v>1</v>
      </c>
      <c r="F7" s="122">
        <f>[20]Input!F7</f>
        <v>0</v>
      </c>
      <c r="G7" s="94" t="str">
        <f>[20]Input!G7</f>
        <v>(230 kV)</v>
      </c>
    </row>
    <row r="9" spans="1:14" ht="15" customHeight="1">
      <c r="A9" s="123" t="s">
        <v>71</v>
      </c>
      <c r="B9" s="124" t="s">
        <v>72</v>
      </c>
      <c r="C9" s="125" t="s">
        <v>73</v>
      </c>
      <c r="D9" s="125" t="s">
        <v>74</v>
      </c>
      <c r="E9" s="125" t="s">
        <v>75</v>
      </c>
      <c r="F9" s="125" t="s">
        <v>76</v>
      </c>
      <c r="G9" s="125" t="s">
        <v>77</v>
      </c>
      <c r="H9" s="126" t="s">
        <v>78</v>
      </c>
      <c r="I9" s="126" t="s">
        <v>79</v>
      </c>
      <c r="J9" s="126" t="s">
        <v>80</v>
      </c>
      <c r="K9" s="126" t="s">
        <v>81</v>
      </c>
      <c r="L9" s="126" t="s">
        <v>82</v>
      </c>
      <c r="M9" s="127" t="s">
        <v>83</v>
      </c>
    </row>
    <row r="10" spans="1:14" ht="15" customHeight="1">
      <c r="A10" s="128"/>
      <c r="B10" s="129" t="s">
        <v>84</v>
      </c>
      <c r="C10" s="130" t="s">
        <v>85</v>
      </c>
      <c r="D10" s="130" t="s">
        <v>86</v>
      </c>
      <c r="E10" s="130" t="s">
        <v>87</v>
      </c>
      <c r="F10" s="130" t="s">
        <v>88</v>
      </c>
      <c r="G10" s="130" t="s">
        <v>89</v>
      </c>
      <c r="H10" s="130" t="s">
        <v>90</v>
      </c>
      <c r="I10" s="130" t="s">
        <v>91</v>
      </c>
      <c r="J10" s="130" t="s">
        <v>92</v>
      </c>
      <c r="K10" s="130" t="s">
        <v>93</v>
      </c>
      <c r="L10" s="130" t="s">
        <v>94</v>
      </c>
      <c r="M10" s="131" t="s">
        <v>95</v>
      </c>
    </row>
    <row r="11" spans="1:14" ht="15" customHeight="1">
      <c r="A11" s="123" t="s">
        <v>96</v>
      </c>
      <c r="B11" s="124" t="s">
        <v>97</v>
      </c>
      <c r="C11" s="125" t="s">
        <v>97</v>
      </c>
      <c r="D11" s="125" t="s">
        <v>97</v>
      </c>
      <c r="E11" s="125" t="s">
        <v>97</v>
      </c>
      <c r="F11" s="125" t="s">
        <v>97</v>
      </c>
      <c r="G11" s="125" t="s">
        <v>97</v>
      </c>
      <c r="H11" s="126" t="s">
        <v>98</v>
      </c>
      <c r="I11" s="126" t="s">
        <v>98</v>
      </c>
      <c r="J11" s="126" t="s">
        <v>98</v>
      </c>
      <c r="K11" s="126" t="s">
        <v>98</v>
      </c>
      <c r="L11" s="126" t="s">
        <v>98</v>
      </c>
      <c r="M11" s="127" t="s">
        <v>97</v>
      </c>
    </row>
    <row r="12" spans="1:14" ht="15" customHeight="1">
      <c r="A12" s="132">
        <f>SUM(B12:M12)</f>
        <v>8760</v>
      </c>
      <c r="B12" s="133">
        <f>24*31</f>
        <v>744</v>
      </c>
      <c r="C12" s="134">
        <f>24*31</f>
        <v>744</v>
      </c>
      <c r="D12" s="134">
        <f>24*30</f>
        <v>720</v>
      </c>
      <c r="E12" s="134">
        <f>24*31</f>
        <v>744</v>
      </c>
      <c r="F12" s="134">
        <f>24*30</f>
        <v>720</v>
      </c>
      <c r="G12" s="134">
        <f>24*31</f>
        <v>744</v>
      </c>
      <c r="H12" s="134">
        <f>24*31</f>
        <v>744</v>
      </c>
      <c r="I12" s="134">
        <f>24*28</f>
        <v>672</v>
      </c>
      <c r="J12" s="134">
        <f>24*31</f>
        <v>744</v>
      </c>
      <c r="K12" s="134">
        <f>24*30</f>
        <v>720</v>
      </c>
      <c r="L12" s="134">
        <f>24*31</f>
        <v>744</v>
      </c>
      <c r="M12" s="135">
        <f>24*30</f>
        <v>720</v>
      </c>
      <c r="N12" s="136">
        <f>SUM(B12:M12)</f>
        <v>8760</v>
      </c>
    </row>
    <row r="13" spans="1:14" ht="15" customHeight="1">
      <c r="A13" s="137" t="s">
        <v>99</v>
      </c>
      <c r="B13" s="111">
        <f>[24]M01!$H$13</f>
        <v>744</v>
      </c>
      <c r="C13" s="94">
        <f>[24]M02!$H$13</f>
        <v>744</v>
      </c>
      <c r="D13" s="94">
        <f>[24]M03!$H$13</f>
        <v>720</v>
      </c>
      <c r="E13" s="94">
        <f>[24]M04!$H$13</f>
        <v>744</v>
      </c>
      <c r="F13" s="94">
        <f>[24]M05!$H$13</f>
        <v>720</v>
      </c>
      <c r="G13" s="94">
        <f>[24]M06!$H$13</f>
        <v>744</v>
      </c>
      <c r="H13" s="94">
        <f>[24]M07!$H$13</f>
        <v>744</v>
      </c>
      <c r="I13" s="94">
        <f>[24]M08!$H$13</f>
        <v>672</v>
      </c>
      <c r="J13" s="94">
        <f>[24]M09!$H$13</f>
        <v>744</v>
      </c>
      <c r="K13" s="94">
        <f>[24]M10!$H$13</f>
        <v>720</v>
      </c>
      <c r="L13" s="94">
        <f>[24]M11!$H$13</f>
        <v>744</v>
      </c>
      <c r="M13" s="138">
        <f>[24]M12!$H$13</f>
        <v>720</v>
      </c>
      <c r="N13" s="136">
        <f>SUM(B13:M13)</f>
        <v>8760</v>
      </c>
    </row>
    <row r="14" spans="1:14" ht="15" customHeight="1">
      <c r="A14" s="128" t="s">
        <v>100</v>
      </c>
      <c r="B14" s="139">
        <f>[24]M01!$I$13</f>
        <v>8.4931506849315067E-2</v>
      </c>
      <c r="C14" s="140">
        <f>[24]M02!$I$13</f>
        <v>8.4931506849315067E-2</v>
      </c>
      <c r="D14" s="140">
        <f>[24]M03!$I$13</f>
        <v>8.2191780821917804E-2</v>
      </c>
      <c r="E14" s="140">
        <f>[24]M04!$I$13</f>
        <v>8.4931506849315067E-2</v>
      </c>
      <c r="F14" s="140">
        <f>[24]M05!$I$13</f>
        <v>8.2191780821917804E-2</v>
      </c>
      <c r="G14" s="140">
        <f>[24]M06!$I$13</f>
        <v>8.4931506849315067E-2</v>
      </c>
      <c r="H14" s="140">
        <f>[24]M07!$I$13</f>
        <v>8.493150684931508E-2</v>
      </c>
      <c r="I14" s="140">
        <f>[24]M08!$I$13</f>
        <v>7.6712328767123292E-2</v>
      </c>
      <c r="J14" s="140">
        <f>[24]M09!$I$13</f>
        <v>8.4931506849315067E-2</v>
      </c>
      <c r="K14" s="140">
        <f>[24]M10!$I$13</f>
        <v>8.2191780821917804E-2</v>
      </c>
      <c r="L14" s="140">
        <f>[24]M11!$I$13</f>
        <v>8.4931506849315067E-2</v>
      </c>
      <c r="M14" s="141">
        <f>[24]M12!$I$13</f>
        <v>8.2191780821917804E-2</v>
      </c>
      <c r="N14" s="142">
        <f>SUM(B14:M14)</f>
        <v>0.99999999999999989</v>
      </c>
    </row>
    <row r="16" spans="1:14" ht="20.25" customHeight="1">
      <c r="A16" s="143" t="s">
        <v>25</v>
      </c>
      <c r="B16" s="144">
        <v>1</v>
      </c>
      <c r="C16" s="144">
        <v>2</v>
      </c>
      <c r="D16" s="144">
        <v>3</v>
      </c>
      <c r="E16" s="144">
        <v>4</v>
      </c>
      <c r="F16" s="144">
        <v>5</v>
      </c>
      <c r="G16" s="144">
        <v>6</v>
      </c>
      <c r="H16" s="144">
        <v>7</v>
      </c>
      <c r="I16" s="144">
        <v>8</v>
      </c>
      <c r="J16" s="144">
        <v>9</v>
      </c>
      <c r="K16" s="145">
        <v>10</v>
      </c>
      <c r="L16" s="146" t="s">
        <v>20</v>
      </c>
    </row>
    <row r="17" spans="1:14" ht="25.15" customHeight="1">
      <c r="A17" s="147" t="s">
        <v>101</v>
      </c>
      <c r="B17" s="148" t="s">
        <v>102</v>
      </c>
      <c r="C17" s="148" t="s">
        <v>103</v>
      </c>
      <c r="D17" s="148" t="s">
        <v>104</v>
      </c>
      <c r="E17" s="148" t="s">
        <v>105</v>
      </c>
      <c r="F17" s="148" t="s">
        <v>106</v>
      </c>
      <c r="G17" s="148" t="s">
        <v>107</v>
      </c>
      <c r="H17" s="148" t="s">
        <v>108</v>
      </c>
      <c r="I17" s="148" t="s">
        <v>109</v>
      </c>
      <c r="J17" s="148" t="s">
        <v>110</v>
      </c>
      <c r="K17" s="149" t="s">
        <v>111</v>
      </c>
      <c r="L17" s="150"/>
    </row>
    <row r="18" spans="1:14" ht="20.25" customHeight="1">
      <c r="A18" s="151" t="s">
        <v>112</v>
      </c>
      <c r="L18" s="152"/>
    </row>
    <row r="19" spans="1:14" ht="15" customHeight="1">
      <c r="A19" s="123" t="s">
        <v>113</v>
      </c>
      <c r="B19" s="153">
        <f>[20]Input!B11</f>
        <v>381.78000000000003</v>
      </c>
      <c r="C19" s="154">
        <f>[20]Input!C11</f>
        <v>548.68000000000006</v>
      </c>
      <c r="D19" s="154">
        <f>[20]Input!D11</f>
        <v>194.10000000000005</v>
      </c>
      <c r="E19" s="154">
        <f>[20]Input!E11</f>
        <v>857.84999999999968</v>
      </c>
      <c r="F19" s="154">
        <f>[20]Input!F11</f>
        <v>806.46999999999991</v>
      </c>
      <c r="G19" s="154">
        <f>[20]Input!G11</f>
        <v>451.46</v>
      </c>
      <c r="H19" s="154">
        <f>[20]Input!H11</f>
        <v>153.13999999999999</v>
      </c>
      <c r="I19" s="154">
        <f>[20]Input!I11</f>
        <v>260</v>
      </c>
      <c r="J19" s="154">
        <f>[20]Input!J11</f>
        <v>1376.25</v>
      </c>
      <c r="K19" s="155">
        <f>[20]Input!K11</f>
        <v>254.8</v>
      </c>
      <c r="L19" s="156">
        <f>SUM(B19:K19)</f>
        <v>5284.53</v>
      </c>
    </row>
    <row r="20" spans="1:14" ht="15" customHeight="1">
      <c r="A20" s="128" t="s">
        <v>22</v>
      </c>
      <c r="B20" s="157">
        <f>[20]Input!B12</f>
        <v>28.91</v>
      </c>
      <c r="C20" s="158">
        <f>[20]Input!C12</f>
        <v>0</v>
      </c>
      <c r="D20" s="158">
        <f>[20]Input!D12</f>
        <v>0.09</v>
      </c>
      <c r="E20" s="158">
        <f>[20]Input!E12</f>
        <v>144.69999999999999</v>
      </c>
      <c r="F20" s="158">
        <f>[20]Input!F12</f>
        <v>225.22</v>
      </c>
      <c r="G20" s="158">
        <f>[20]Input!G12</f>
        <v>295.17999999999995</v>
      </c>
      <c r="H20" s="158">
        <f>[20]Input!H12</f>
        <v>1084.07</v>
      </c>
      <c r="I20" s="158">
        <f>[20]Input!I12</f>
        <v>1.9</v>
      </c>
      <c r="J20" s="158">
        <f>[20]Input!J12</f>
        <v>158.94999999999999</v>
      </c>
      <c r="K20" s="159">
        <f>[20]Input!K12</f>
        <v>58.54</v>
      </c>
      <c r="L20" s="160">
        <f>SUM(B20:K20)</f>
        <v>1997.56</v>
      </c>
    </row>
    <row r="21" spans="1:14" ht="20.25" customHeight="1">
      <c r="A21" s="151" t="s">
        <v>114</v>
      </c>
      <c r="L21" s="152"/>
    </row>
    <row r="22" spans="1:14" ht="15" customHeight="1">
      <c r="A22" s="123" t="s">
        <v>115</v>
      </c>
      <c r="B22" s="153">
        <f>SUM([24]M01!B21*$B$14,[24]M02!B21*$C$14,[24]M03!B21*$D$14,[24]M04!B21*$E$14,[24]M05!B21*$F$14,[24]M06!B21*$G$14,[24]M07!B21*$H$14,[24]M08!B21*$I$14,[24]M09!B21*$J$14,[24]M10!B21*$K$14,[24]M11!B21*$L$14,[24]M12!B21*$M$14)/$N$14</f>
        <v>144.01965182648402</v>
      </c>
      <c r="C22" s="154">
        <f>SUM([24]M01!C21*$B$14,[24]M02!C21*$C$14,[24]M03!C21*$D$14,[24]M04!C21*$E$14,[24]M05!C21*$F$14,[24]M06!C21*$G$14,[24]M07!C21*$H$14,[24]M08!C21*$I$14,[24]M09!C21*$J$14,[24]M10!C21*$K$14,[24]M11!C21*$L$14,[24]M12!C21*$M$14)/$N$14</f>
        <v>159.95365296803655</v>
      </c>
      <c r="D22" s="154">
        <f>SUM([24]M01!D21*$B$14,[24]M02!D21*$C$14,[24]M03!D21*$D$14,[24]M04!D21*$E$14,[24]M05!D21*$F$14,[24]M06!D21*$G$14,[24]M07!D21*$H$14,[24]M08!D21*$I$14,[24]M09!D21*$J$14,[24]M10!D21*$K$14,[24]M11!D21*$L$14,[24]M12!D21*$M$14)/$N$14</f>
        <v>78.993173515981752</v>
      </c>
      <c r="E22" s="154">
        <f>SUM([24]M01!E21*$B$14,[24]M02!E21*$C$14,[24]M03!E21*$D$14,[24]M04!E21*$E$14,[24]M05!E21*$F$14,[24]M06!E21*$G$14,[24]M07!E21*$H$14,[24]M08!E21*$I$14,[24]M09!E21*$J$14,[24]M10!E21*$K$14,[24]M11!E21*$L$14,[24]M12!E21*$M$14)/$N$14</f>
        <v>397.59746575342479</v>
      </c>
      <c r="F22" s="154">
        <f>SUM([24]M01!F21*$B$14,[24]M02!F21*$C$14,[24]M03!F21*$D$14,[24]M04!F21*$E$14,[24]M05!F21*$F$14,[24]M06!F21*$G$14,[24]M07!F21*$H$14,[24]M08!F21*$I$14,[24]M09!F21*$J$14,[24]M10!F21*$K$14,[24]M11!F21*$L$14,[24]M12!F21*$M$14)/$N$14</f>
        <v>325.11114726027404</v>
      </c>
      <c r="G22" s="154">
        <f>SUM([24]M01!G21*$B$14,[24]M02!G21*$C$14,[24]M03!G21*$D$14,[24]M04!G21*$E$14,[24]M05!G21*$F$14,[24]M06!G21*$G$14,[24]M07!G21*$H$14,[24]M08!G21*$I$14,[24]M09!G21*$J$14,[24]M10!G21*$K$14,[24]M11!G21*$L$14,[24]M12!G21*$M$14)/$N$14</f>
        <v>183.49996575342465</v>
      </c>
      <c r="H22" s="154">
        <f>SUM([24]M01!H21*$B$14,[24]M02!H21*$C$14,[24]M03!H21*$D$14,[24]M04!H21*$E$14,[24]M05!H21*$F$14,[24]M06!H21*$G$14,[24]M07!H21*$H$14,[24]M08!H21*$I$14,[24]M09!H21*$J$14,[24]M10!H21*$K$14,[24]M11!H21*$L$14,[24]M12!H21*$M$14)/$N$14</f>
        <v>1.3244977168949774</v>
      </c>
      <c r="I22" s="154">
        <f>SUM([24]M01!I21*$B$14,[24]M02!I21*$C$14,[24]M03!I21*$D$14,[24]M04!I21*$E$14,[24]M05!I21*$F$14,[24]M06!I21*$G$14,[24]M07!I21*$H$14,[24]M08!I21*$I$14,[24]M09!I21*$J$14,[24]M10!I21*$K$14,[24]M11!I21*$L$14,[24]M12!I21*$M$14)/$N$14</f>
        <v>38.475393835616437</v>
      </c>
      <c r="J22" s="154">
        <f>SUM([24]M01!J21*$B$14,[24]M02!J21*$C$14,[24]M03!J21*$D$14,[24]M04!J21*$E$14,[24]M05!J21*$F$14,[24]M06!J21*$G$14,[24]M07!J21*$H$14,[24]M08!J21*$I$14,[24]M09!J21*$J$14,[24]M10!J21*$K$14,[24]M11!J21*$L$14,[24]M12!J21*$M$14)/$N$14</f>
        <v>133.81565068493154</v>
      </c>
      <c r="K22" s="155">
        <f>SUM([24]M01!K21*$B$14,[24]M02!K21*$C$14,[24]M03!K21*$D$14,[24]M04!K21*$E$14,[24]M05!K21*$F$14,[24]M06!K21*$G$14,[24]M07!K21*$H$14,[24]M08!K21*$I$14,[24]M09!K21*$J$14,[24]M10!K21*$K$14,[24]M11!K21*$L$14,[24]M12!K21*$M$14)/$N$14</f>
        <v>127.58067351598174</v>
      </c>
      <c r="L22" s="156">
        <f>SUM(B22:K22)</f>
        <v>1590.3712728310506</v>
      </c>
    </row>
    <row r="23" spans="1:14" ht="15" customHeight="1">
      <c r="A23" s="128" t="s">
        <v>116</v>
      </c>
      <c r="B23" s="157">
        <f>SUM([24]M01!B22*$B$14,[24]M02!B22*$C$14,[24]M03!B22*$D$14,[24]M04!B22*$E$14,[24]M05!B22*$F$14,[24]M06!B22*$G$14,[24]M07!B22*$H$14,[24]M08!B22*$I$14,[24]M09!B22*$J$14,[24]M10!B22*$K$14,[24]M11!B22*$L$14,[24]M12!B22*$M$14)/$N$14</f>
        <v>10.209480593607307</v>
      </c>
      <c r="C23" s="158">
        <f>SUM([24]M01!C22*$B$14,[24]M02!C22*$C$14,[24]M03!C22*$D$14,[24]M04!C22*$E$14,[24]M05!C22*$F$14,[24]M06!C22*$G$14,[24]M07!C22*$H$14,[24]M08!C22*$I$14,[24]M09!C22*$J$14,[24]M10!C22*$K$14,[24]M11!C22*$L$14,[24]M12!C22*$M$14)/$N$14</f>
        <v>0</v>
      </c>
      <c r="D23" s="158">
        <f>SUM([24]M01!D22*$B$14,[24]M02!D22*$C$14,[24]M03!D22*$D$14,[24]M04!D22*$E$14,[24]M05!D22*$F$14,[24]M06!D22*$G$14,[24]M07!D22*$H$14,[24]M08!D22*$I$14,[24]M09!D22*$J$14,[24]M10!D22*$K$14,[24]M11!D22*$L$14,[24]M12!D22*$M$14)/$N$14</f>
        <v>1.7264155251141553</v>
      </c>
      <c r="E23" s="158">
        <f>SUM([24]M01!E22*$B$14,[24]M02!E22*$C$14,[24]M03!E22*$D$14,[24]M04!E22*$E$14,[24]M05!E22*$F$14,[24]M06!E22*$G$14,[24]M07!E22*$H$14,[24]M08!E22*$I$14,[24]M09!E22*$J$14,[24]M10!E22*$K$14,[24]M11!E22*$L$14,[24]M12!E22*$M$14)/$N$14</f>
        <v>150.06702625570779</v>
      </c>
      <c r="F23" s="158">
        <f>SUM([24]M01!F22*$B$14,[24]M02!F22*$C$14,[24]M03!F22*$D$14,[24]M04!F22*$E$14,[24]M05!F22*$F$14,[24]M06!F22*$G$14,[24]M07!F22*$H$14,[24]M08!F22*$I$14,[24]M09!F22*$J$14,[24]M10!F22*$K$14,[24]M11!F22*$L$14,[24]M12!F22*$M$14)/$N$14</f>
        <v>47.643047945205488</v>
      </c>
      <c r="G23" s="158">
        <f>SUM([24]M01!G22*$B$14,[24]M02!G22*$C$14,[24]M03!G22*$D$14,[24]M04!G22*$E$14,[24]M05!G22*$F$14,[24]M06!G22*$G$14,[24]M07!G22*$H$14,[24]M08!G22*$I$14,[24]M09!G22*$J$14,[24]M10!G22*$K$14,[24]M11!G22*$L$14,[24]M12!G22*$M$14)/$N$14</f>
        <v>191.3130764840183</v>
      </c>
      <c r="H23" s="158">
        <f>SUM([24]M01!H22*$B$14,[24]M02!H22*$C$14,[24]M03!H22*$D$14,[24]M04!H22*$E$14,[24]M05!H22*$F$14,[24]M06!H22*$G$14,[24]M07!H22*$H$14,[24]M08!H22*$I$14,[24]M09!H22*$J$14,[24]M10!H22*$K$14,[24]M11!H22*$L$14,[24]M12!H22*$M$14)/$N$14</f>
        <v>1037.8621917808221</v>
      </c>
      <c r="I23" s="158">
        <f>SUM([24]M01!I22*$B$14,[24]M02!I22*$C$14,[24]M03!I22*$D$14,[24]M04!I22*$E$14,[24]M05!I22*$F$14,[24]M06!I22*$G$14,[24]M07!I22*$H$14,[24]M08!I22*$I$14,[24]M09!I22*$J$14,[24]M10!I22*$K$14,[24]M11!I22*$L$14,[24]M12!I22*$M$14)/$N$14</f>
        <v>2.9134474885844752</v>
      </c>
      <c r="J23" s="158">
        <f>SUM([24]M01!J22*$B$14,[24]M02!J22*$C$14,[24]M03!J22*$D$14,[24]M04!J22*$E$14,[24]M05!J22*$F$14,[24]M06!J22*$G$14,[24]M07!J22*$H$14,[24]M08!J22*$I$14,[24]M09!J22*$J$14,[24]M10!J22*$K$14,[24]M11!J22*$L$14,[24]M12!J22*$M$14)/$N$14</f>
        <v>137.36246575342469</v>
      </c>
      <c r="K23" s="159">
        <f>SUM([24]M01!K22*$B$14,[24]M02!K22*$C$14,[24]M03!K22*$D$14,[24]M04!K22*$E$14,[24]M05!K22*$F$14,[24]M06!K22*$G$14,[24]M07!K22*$H$14,[24]M08!K22*$I$14,[24]M09!K22*$J$14,[24]M10!K22*$K$14,[24]M11!K22*$L$14,[24]M12!K22*$M$14)/$N$14</f>
        <v>11.071078767123291</v>
      </c>
      <c r="L23" s="160">
        <f>SUM(B23:K23)</f>
        <v>1590.1682305936076</v>
      </c>
    </row>
    <row r="24" spans="1:14" ht="20.25" customHeight="1">
      <c r="A24" s="151" t="s">
        <v>117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152"/>
    </row>
    <row r="25" spans="1:14" ht="15" customHeight="1">
      <c r="A25" s="123" t="s">
        <v>118</v>
      </c>
      <c r="B25" s="153">
        <f>SUM([24]M01!B24,[24]M02!B24,[24]M03!B24,[24]M04!B24,[24]M05!B24,[24]M06!B24,[24]M07!B24,[24]M08!B24,[24]M09!B24,[24]M10!B24,[24]M11!B24,[24]M12!B24)</f>
        <v>1261.6121500000002</v>
      </c>
      <c r="C25" s="154">
        <f>SUM([24]M01!C24,[24]M02!C24,[24]M03!C24,[24]M04!C24,[24]M05!C24,[24]M06!C24,[24]M07!C24,[24]M08!C24,[24]M09!C24,[24]M10!C24,[24]M11!C24,[24]M12!C24)</f>
        <v>1401.194</v>
      </c>
      <c r="D25" s="154">
        <f>SUM([24]M01!D24,[24]M02!D24,[24]M03!D24,[24]M04!D24,[24]M05!D24,[24]M06!D24,[24]M07!D24,[24]M08!D24,[24]M09!D24,[24]M10!D24,[24]M11!D24,[24]M12!D24)</f>
        <v>691.98019999999997</v>
      </c>
      <c r="E25" s="154">
        <f>SUM([24]M01!E24,[24]M02!E24,[24]M03!E24,[24]M04!E24,[24]M05!E24,[24]M06!E24,[24]M07!E24,[24]M08!E24,[24]M09!E24,[24]M10!E24,[24]M11!E24,[24]M12!E24)</f>
        <v>3482.9538000000007</v>
      </c>
      <c r="F25" s="154">
        <f>SUM([24]M01!F24,[24]M02!F24,[24]M03!F24,[24]M04!F24,[24]M05!F24,[24]M06!F24,[24]M07!F24,[24]M08!F24,[24]M09!F24,[24]M10!F24,[24]M11!F24,[24]M12!F24)</f>
        <v>2847.9736500000004</v>
      </c>
      <c r="G25" s="154">
        <f>SUM([24]M01!G24,[24]M02!G24,[24]M03!G24,[24]M04!G24,[24]M05!G24,[24]M06!G24,[24]M07!G24,[24]M08!G24,[24]M09!G24,[24]M10!G24,[24]M11!G24,[24]M12!G24)</f>
        <v>1607.4596999999999</v>
      </c>
      <c r="H25" s="154">
        <f>SUM([24]M01!H24,[24]M02!H24,[24]M03!H24,[24]M04!H24,[24]M05!H24,[24]M06!H24,[24]M07!H24,[24]M08!H24,[24]M09!H24,[24]M10!H24,[24]M11!H24,[24]M12!H24)</f>
        <v>11.602600000000001</v>
      </c>
      <c r="I25" s="154">
        <f>SUM([24]M01!I24,[24]M02!I24,[24]M03!I24,[24]M04!I24,[24]M05!I24,[24]M06!I24,[24]M07!I24,[24]M08!I24,[24]M09!I24,[24]M10!I24,[24]M11!I24,[24]M12!I24)</f>
        <v>337.04444999999998</v>
      </c>
      <c r="J25" s="154">
        <f>SUM([24]M01!J24,[24]M02!J24,[24]M03!J24,[24]M04!J24,[24]M05!J24,[24]M06!J24,[24]M07!J24,[24]M08!J24,[24]M09!J24,[24]M10!J24,[24]M11!J24,[24]M12!J24)</f>
        <v>1172.2250999999999</v>
      </c>
      <c r="K25" s="155">
        <f>SUM([24]M01!K24,[24]M02!K24,[24]M03!K24,[24]M04!K24,[24]M05!K24,[24]M06!K24,[24]M07!K24,[24]M08!K24,[24]M09!K24,[24]M10!K24,[24]M11!K24,[24]M12!K24)</f>
        <v>1117.6067</v>
      </c>
      <c r="L25" s="156">
        <f>SUM(B25:K25)</f>
        <v>13931.65235</v>
      </c>
    </row>
    <row r="26" spans="1:14" ht="15" customHeight="1">
      <c r="A26" s="128" t="s">
        <v>119</v>
      </c>
      <c r="B26" s="157">
        <f>SUM([24]M01!B25,[24]M02!B25,[24]M03!B25,[24]M04!B25,[24]M05!B25,[24]M06!B25,[24]M07!B25,[24]M08!B25,[24]M09!B25,[24]M10!B25,[24]M11!B25,[24]M12!B25)</f>
        <v>89.435050000000018</v>
      </c>
      <c r="C26" s="158">
        <f>SUM([24]M01!C25,[24]M02!C25,[24]M03!C25,[24]M04!C25,[24]M05!C25,[24]M06!C25,[24]M07!C25,[24]M08!C25,[24]M09!C25,[24]M10!C25,[24]M11!C25,[24]M12!C25)</f>
        <v>0</v>
      </c>
      <c r="D26" s="158">
        <f>SUM([24]M01!D25,[24]M02!D25,[24]M03!D25,[24]M04!D25,[24]M05!D25,[24]M06!D25,[24]M07!D25,[24]M08!D25,[24]M09!D25,[24]M10!D25,[24]M11!D25,[24]M12!D25)</f>
        <v>15.123399999999998</v>
      </c>
      <c r="E26" s="158">
        <f>SUM([24]M01!E25,[24]M02!E25,[24]M03!E25,[24]M04!E25,[24]M05!E25,[24]M06!E25,[24]M07!E25,[24]M08!E25,[24]M09!E25,[24]M10!E25,[24]M11!E25,[24]M12!E25)</f>
        <v>1314.5871499999998</v>
      </c>
      <c r="F26" s="158">
        <f>SUM([24]M01!F25,[24]M02!F25,[24]M03!F25,[24]M04!F25,[24]M05!F25,[24]M06!F25,[24]M07!F25,[24]M08!F25,[24]M09!F25,[24]M10!F25,[24]M11!F25,[24]M12!F25)</f>
        <v>417.35309999999998</v>
      </c>
      <c r="G26" s="158">
        <f>SUM([24]M01!G25,[24]M02!G25,[24]M03!G25,[24]M04!G25,[24]M05!G25,[24]M06!G25,[24]M07!G25,[24]M08!G25,[24]M09!G25,[24]M10!G25,[24]M11!G25,[24]M12!G25)</f>
        <v>1675.9025499999998</v>
      </c>
      <c r="H26" s="158">
        <f>SUM([24]M01!H25,[24]M02!H25,[24]M03!H25,[24]M04!H25,[24]M05!H25,[24]M06!H25,[24]M07!H25,[24]M08!H25,[24]M09!H25,[24]M10!H25,[24]M11!H25,[24]M12!H25)</f>
        <v>9091.6727999999985</v>
      </c>
      <c r="I26" s="158">
        <f>SUM([24]M01!I25,[24]M02!I25,[24]M03!I25,[24]M04!I25,[24]M05!I25,[24]M06!I25,[24]M07!I25,[24]M08!I25,[24]M09!I25,[24]M10!I25,[24]M11!I25,[24]M12!I25)</f>
        <v>25.521800000000006</v>
      </c>
      <c r="J26" s="158">
        <f>SUM([24]M01!J25,[24]M02!J25,[24]M03!J25,[24]M04!J25,[24]M05!J25,[24]M06!J25,[24]M07!J25,[24]M08!J25,[24]M09!J25,[24]M10!J25,[24]M11!J25,[24]M12!J25)</f>
        <v>1203.2952</v>
      </c>
      <c r="K26" s="159">
        <f>SUM([24]M01!K25,[24]M02!K25,[24]M03!K25,[24]M04!K25,[24]M05!K25,[24]M06!K25,[24]M07!K25,[24]M08!K25,[24]M09!K25,[24]M10!K25,[24]M11!K25,[24]M12!K25)</f>
        <v>96.982650000000007</v>
      </c>
      <c r="L26" s="160">
        <f>SUM(B26:K26)</f>
        <v>13929.8737</v>
      </c>
    </row>
    <row r="27" spans="1:14" ht="9.9499999999999993" customHeight="1"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2"/>
      <c r="N27" s="163"/>
    </row>
    <row r="28" spans="1:14" ht="20.25" customHeight="1">
      <c r="A28" s="151" t="s">
        <v>120</v>
      </c>
      <c r="L28" s="152"/>
      <c r="N28" s="163"/>
    </row>
    <row r="29" spans="1:14" ht="15" customHeight="1">
      <c r="A29" s="164" t="s">
        <v>64</v>
      </c>
      <c r="B29" s="165">
        <f>SUM([24]M01!B27*$B$14,[24]M02!B27*$C$14,[24]M03!B27*$D$14,[24]M04!B27*$E$14,[24]M05!B27*$F$14,[24]M06!B27*$G$14,[24]M07!B27*$H$14,[24]M08!B27*$I$14,[24]M09!B27*$J$14,[24]M10!B27*$K$14,[24]M11!B27*$L$14,[24]M12!B27*$M$14)/$N$14</f>
        <v>2.6061797095814327</v>
      </c>
      <c r="C29" s="166">
        <f>SUM([24]M01!C27*$B$14,[24]M02!C27*$C$14,[24]M03!C27*$D$14,[24]M04!C27*$E$14,[24]M05!C27*$F$14,[24]M06!C27*$G$14,[24]M07!C27*$H$14,[24]M08!C27*$I$14,[24]M09!C27*$J$14,[24]M10!C27*$K$14,[24]M11!C27*$L$14,[24]M12!C27*$M$14)/$N$14</f>
        <v>3.0672860618613838</v>
      </c>
      <c r="D29" s="166">
        <f>SUM([24]M01!D27*$B$14,[24]M02!D27*$C$14,[24]M03!D27*$D$14,[24]M04!D27*$E$14,[24]M05!D27*$F$14,[24]M06!D27*$G$14,[24]M07!D27*$H$14,[24]M08!D27*$I$14,[24]M09!D27*$J$14,[24]M10!D27*$K$14,[24]M11!D27*$L$14,[24]M12!D27*$M$14)/$N$14</f>
        <v>2.4708728230768915</v>
      </c>
      <c r="E29" s="166">
        <f>SUM([24]M01!E27*$B$14,[24]M02!E27*$C$14,[24]M03!E27*$D$14,[24]M04!E27*$E$14,[24]M05!E27*$F$14,[24]M06!E27*$G$14,[24]M07!E27*$H$14,[24]M08!E27*$I$14,[24]M09!E27*$J$14,[24]M10!E27*$K$14,[24]M11!E27*$L$14,[24]M12!E27*$M$14)/$N$14</f>
        <v>2.2260740279734175</v>
      </c>
      <c r="F29" s="166">
        <f>SUM([24]M01!F27*$B$14,[24]M02!F27*$C$14,[24]M03!F27*$D$14,[24]M04!F27*$E$14,[24]M05!F27*$F$14,[24]M06!F27*$G$14,[24]M07!F27*$H$14,[24]M08!F27*$I$14,[24]M09!F27*$J$14,[24]M10!F27*$K$14,[24]M11!F27*$L$14,[24]M12!F27*$M$14)/$N$14</f>
        <v>0.8848071528864202</v>
      </c>
      <c r="G29" s="166">
        <f>SUM([24]M01!G27*$B$14,[24]M02!G27*$C$14,[24]M03!G27*$D$14,[24]M04!G27*$E$14,[24]M05!G27*$F$14,[24]M06!G27*$G$14,[24]M07!G27*$H$14,[24]M08!G27*$I$14,[24]M09!G27*$J$14,[24]M10!G27*$K$14,[24]M11!G27*$L$14,[24]M12!G27*$M$14)/$N$14</f>
        <v>0.93870571352729992</v>
      </c>
      <c r="H29" s="166">
        <f>SUM([24]M01!H27*$B$14,[24]M02!H27*$C$14,[24]M03!H27*$D$14,[24]M04!H27*$E$14,[24]M05!H27*$F$14,[24]M06!H27*$G$14,[24]M07!H27*$H$14,[24]M08!H27*$I$14,[24]M09!H27*$J$14,[24]M10!H27*$K$14,[24]M11!H27*$L$14,[24]M12!H27*$M$14)/$N$14</f>
        <v>5.7144528577244046E-3</v>
      </c>
      <c r="I29" s="166">
        <f>SUM([24]M01!I27*$B$14,[24]M02!I27*$C$14,[24]M03!I27*$D$14,[24]M04!I27*$E$14,[24]M05!I27*$F$14,[24]M06!I27*$G$14,[24]M07!I27*$H$14,[24]M08!I27*$I$14,[24]M09!I27*$J$14,[24]M10!I27*$K$14,[24]M11!I27*$L$14,[24]M12!I27*$M$14)/$N$14</f>
        <v>0.39868606627693898</v>
      </c>
      <c r="J29" s="166">
        <f>SUM([24]M01!J27*$B$14,[24]M02!J27*$C$14,[24]M03!J27*$D$14,[24]M04!J27*$E$14,[24]M05!J27*$F$14,[24]M06!J27*$G$14,[24]M07!J27*$H$14,[24]M08!J27*$I$14,[24]M09!J27*$J$14,[24]M10!J27*$K$14,[24]M11!J27*$L$14,[24]M12!J27*$M$14)/$N$14</f>
        <v>1.0077560323472974</v>
      </c>
      <c r="K29" s="167">
        <f>SUM([24]M01!K27*$B$14,[24]M02!K27*$C$14,[24]M03!K27*$D$14,[24]M04!K27*$E$14,[24]M05!K27*$F$14,[24]M06!K27*$G$14,[24]M07!K27*$H$14,[24]M08!K27*$I$14,[24]M09!K27*$J$14,[24]M10!K27*$K$14,[24]M11!K27*$L$14,[24]M12!K27*$M$14)/$N$14</f>
        <v>4.1836338601210112</v>
      </c>
      <c r="L29" s="152"/>
      <c r="N29" s="163"/>
    </row>
    <row r="30" spans="1:14" ht="15" customHeight="1">
      <c r="A30" s="168" t="s">
        <v>121</v>
      </c>
      <c r="B30" s="169">
        <f>SUM([24]M01!B28*$B$14,[24]M02!B28*$C$14,[24]M03!B28*$D$14,[24]M04!B28*$E$14,[24]M05!B28*$F$14,[24]M06!B28*$G$14,[24]M07!B28*$H$14,[24]M08!B28*$I$14,[24]M09!B28*$J$14,[24]M10!B28*$K$14,[24]M11!B28*$L$14,[24]M12!B28*$M$14)/$N$14</f>
        <v>5.650139961859266E-3</v>
      </c>
      <c r="C30" s="170">
        <f>SUM([24]M01!C28*$B$14,[24]M02!C28*$C$14,[24]M03!C28*$D$14,[24]M04!C28*$E$14,[24]M05!C28*$F$14,[24]M06!C28*$G$14,[24]M07!C28*$H$14,[24]M08!C28*$I$14,[24]M09!C28*$J$14,[24]M10!C28*$K$14,[24]M11!C28*$L$14,[24]M12!C28*$M$14)/$N$14</f>
        <v>0</v>
      </c>
      <c r="D30" s="170">
        <f>SUM([24]M01!D28*$B$14,[24]M02!D28*$C$14,[24]M03!D28*$D$14,[24]M04!D28*$E$14,[24]M05!D28*$F$14,[24]M06!D28*$G$14,[24]M07!D28*$H$14,[24]M08!D28*$I$14,[24]M09!D28*$J$14,[24]M10!D28*$K$14,[24]M11!D28*$L$14,[24]M12!D28*$M$14)/$N$14</f>
        <v>0.79918492466764091</v>
      </c>
      <c r="E30" s="170">
        <f>SUM([24]M01!E28*$B$14,[24]M02!E28*$C$14,[24]M03!E28*$D$14,[24]M04!E28*$E$14,[24]M05!E28*$F$14,[24]M06!E28*$G$14,[24]M07!E28*$H$14,[24]M08!E28*$I$14,[24]M09!E28*$J$14,[24]M10!E28*$K$14,[24]M11!E28*$L$14,[24]M12!E28*$M$14)/$N$14</f>
        <v>1.3794614480763865</v>
      </c>
      <c r="F30" s="170">
        <f>SUM([24]M01!F28*$B$14,[24]M02!F28*$C$14,[24]M03!F28*$D$14,[24]M04!F28*$E$14,[24]M05!F28*$F$14,[24]M06!F28*$G$14,[24]M07!F28*$H$14,[24]M08!F28*$I$14,[24]M09!F28*$J$14,[24]M10!F28*$K$14,[24]M11!F28*$L$14,[24]M12!F28*$M$14)/$N$14</f>
        <v>1.864040622882047</v>
      </c>
      <c r="G30" s="170">
        <f>SUM([24]M01!G28*$B$14,[24]M02!G28*$C$14,[24]M03!G28*$D$14,[24]M04!G28*$E$14,[24]M05!G28*$F$14,[24]M06!G28*$G$14,[24]M07!G28*$H$14,[24]M08!G28*$I$14,[24]M09!G28*$J$14,[24]M10!G28*$K$14,[24]M11!G28*$L$14,[24]M12!G28*$M$14)/$N$14</f>
        <v>2.1062534565813524</v>
      </c>
      <c r="H30" s="170">
        <f>SUM([24]M01!H28*$B$14,[24]M02!H28*$C$14,[24]M03!H28*$D$14,[24]M04!H28*$E$14,[24]M05!H28*$F$14,[24]M06!H28*$G$14,[24]M07!H28*$H$14,[24]M08!H28*$I$14,[24]M09!H28*$J$14,[24]M10!H28*$K$14,[24]M11!H28*$L$14,[24]M12!H28*$M$14)/$N$14</f>
        <v>2.1037374999710807</v>
      </c>
      <c r="I30" s="170">
        <f>SUM([24]M01!I28*$B$14,[24]M02!I28*$C$14,[24]M03!I28*$D$14,[24]M04!I28*$E$14,[24]M05!I28*$F$14,[24]M06!I28*$G$14,[24]M07!I28*$H$14,[24]M08!I28*$I$14,[24]M09!I28*$J$14,[24]M10!I28*$K$14,[24]M11!I28*$L$14,[24]M12!I28*$M$14)/$N$14</f>
        <v>0.3386001500542522</v>
      </c>
      <c r="J30" s="170">
        <f>SUM([24]M01!J28*$B$14,[24]M02!J28*$C$14,[24]M03!J28*$D$14,[24]M04!J28*$E$14,[24]M05!J28*$F$14,[24]M06!J28*$G$14,[24]M07!J28*$H$14,[24]M08!J28*$I$14,[24]M09!J28*$J$14,[24]M10!J28*$K$14,[24]M11!J28*$L$14,[24]M12!J28*$M$14)/$N$14</f>
        <v>2.1051486797376242</v>
      </c>
      <c r="K30" s="171">
        <f>SUM([24]M01!K28*$B$14,[24]M02!K28*$C$14,[24]M03!K28*$D$14,[24]M04!K28*$E$14,[24]M05!K28*$F$14,[24]M06!K28*$G$14,[24]M07!K28*$H$14,[24]M08!K28*$I$14,[24]M09!K28*$J$14,[24]M10!K28*$K$14,[24]M11!K28*$L$14,[24]M12!K28*$M$14)/$N$14</f>
        <v>0.70861388522147928</v>
      </c>
      <c r="L30" s="152"/>
      <c r="N30" s="163"/>
    </row>
    <row r="31" spans="1:14" ht="20.25" customHeight="1">
      <c r="A31" s="151" t="s">
        <v>122</v>
      </c>
      <c r="L31" s="152"/>
      <c r="N31" s="163"/>
    </row>
    <row r="32" spans="1:14" ht="15" customHeight="1">
      <c r="A32" s="172" t="s">
        <v>123</v>
      </c>
      <c r="B32" s="173">
        <f>SUM([24]M01!B30,[24]M02!B30,[24]M03!B30,[24]M04!B30,[24]M05!B30,[24]M06!B30,[24]M07!B30,[24]M08!B30,[24]M09!B30,[24]M10!B30,[24]M11!B30,[24]M12!B30)</f>
        <v>6.3245188954602147</v>
      </c>
      <c r="L32" s="152"/>
      <c r="N32" s="163"/>
    </row>
    <row r="33" spans="1:14" ht="15" customHeight="1">
      <c r="A33" s="174" t="s">
        <v>124</v>
      </c>
      <c r="B33" s="175">
        <f>SUM([24]M01!B31,[24]M02!B31,[24]M03!B31,[24]M04!B31,[24]M05!B31,[24]M06!B31,[24]M07!B31,[24]M08!B31,[24]M09!B31,[24]M10!B31,[24]M11!B31,[24]M12!B31)</f>
        <v>18.510719339783755</v>
      </c>
      <c r="L33" s="152"/>
      <c r="N33" s="163"/>
    </row>
    <row r="34" spans="1:14" ht="20.25" hidden="1" customHeight="1">
      <c r="A34" s="151" t="s">
        <v>125</v>
      </c>
      <c r="L34" s="152"/>
      <c r="N34" s="163"/>
    </row>
    <row r="35" spans="1:14" ht="15" hidden="1" customHeight="1">
      <c r="A35" s="172" t="s">
        <v>123</v>
      </c>
      <c r="B35" s="173" t="e">
        <f>SUM([24]M01!#REF!,[24]M02!#REF!,[24]M03!#REF!,[24]M04!#REF!,[24]M05!#REF!,[24]M06!#REF!,[24]M07!#REF!,[24]M08!#REF!,[24]M09!#REF!,[24]M10!#REF!,[24]M11!#REF!,[24]M12!#REF!)</f>
        <v>#REF!</v>
      </c>
      <c r="L35" s="152"/>
      <c r="N35" s="163"/>
    </row>
    <row r="36" spans="1:14" ht="15" hidden="1" customHeight="1">
      <c r="A36" s="174" t="s">
        <v>124</v>
      </c>
      <c r="B36" s="175" t="e">
        <f>SUM([24]M01!#REF!,[24]M02!#REF!,[24]M03!#REF!,[24]M04!#REF!,[24]M05!#REF!,[24]M06!#REF!,[24]M07!#REF!,[24]M08!#REF!,[24]M09!#REF!,[24]M10!#REF!,[24]M11!#REF!,[24]M12!#REF!)</f>
        <v>#REF!</v>
      </c>
      <c r="L36" s="152"/>
      <c r="N36" s="163"/>
    </row>
    <row r="37" spans="1:14" ht="20.25" customHeight="1">
      <c r="A37" s="151" t="s">
        <v>126</v>
      </c>
      <c r="L37" s="152"/>
      <c r="N37" s="163"/>
    </row>
    <row r="38" spans="1:14" ht="15" customHeight="1">
      <c r="A38" s="176" t="s">
        <v>121</v>
      </c>
      <c r="B38" s="177">
        <f>SUM([24]M01!B33*$B$14,[24]M02!B33*$C$14,[24]M03!B33*$D$14,[24]M04!B33*$E$14,[24]M05!B33*$F$14,[24]M06!B33*$G$14,[24]M07!B33*$H$14,[24]M08!B33*$I$14,[24]M09!B33*$J$14,[24]M10!B33*$K$14,[24]M11!B33*$L$14,[24]M12!B33*$M$14)/$N$14</f>
        <v>0</v>
      </c>
      <c r="C38" s="178">
        <f>SUM([24]M01!C33*$B$14,[24]M02!C33*$C$14,[24]M03!C33*$D$14,[24]M04!C33*$E$14,[24]M05!C33*$F$14,[24]M06!C33*$G$14,[24]M07!C33*$H$14,[24]M08!C33*$I$14,[24]M09!C33*$J$14,[24]M10!C33*$K$14,[24]M11!C33*$L$14,[24]M12!C33*$M$14)/$N$14</f>
        <v>0</v>
      </c>
      <c r="D38" s="178">
        <f>SUM([24]M01!D33*$B$14,[24]M02!D33*$C$14,[24]M03!D33*$D$14,[24]M04!D33*$E$14,[24]M05!D33*$F$14,[24]M06!D33*$G$14,[24]M07!D33*$H$14,[24]M08!D33*$I$14,[24]M09!D33*$J$14,[24]M10!D33*$K$14,[24]M11!D33*$L$14,[24]M12!D33*$M$14)/$N$14</f>
        <v>0</v>
      </c>
      <c r="E38" s="178">
        <f>SUM([24]M01!E33*$B$14,[24]M02!E33*$C$14,[24]M03!E33*$D$14,[24]M04!E33*$E$14,[24]M05!E33*$F$14,[24]M06!E33*$G$14,[24]M07!E33*$H$14,[24]M08!E33*$I$14,[24]M09!E33*$J$14,[24]M10!E33*$K$14,[24]M11!E33*$L$14,[24]M12!E33*$M$14)/$N$14</f>
        <v>0</v>
      </c>
      <c r="F38" s="178">
        <f>SUM([24]M01!F33*$B$14,[24]M02!F33*$C$14,[24]M03!F33*$D$14,[24]M04!F33*$E$14,[24]M05!F33*$F$14,[24]M06!F33*$G$14,[24]M07!F33*$H$14,[24]M08!F33*$I$14,[24]M09!F33*$J$14,[24]M10!F33*$K$14,[24]M11!F33*$L$14,[24]M12!F33*$M$14)/$N$14</f>
        <v>0</v>
      </c>
      <c r="G38" s="178">
        <f>SUM([24]M01!G33*$B$14,[24]M02!G33*$C$14,[24]M03!G33*$D$14,[24]M04!G33*$E$14,[24]M05!G33*$F$14,[24]M06!G33*$G$14,[24]M07!G33*$H$14,[24]M08!G33*$I$14,[24]M09!G33*$J$14,[24]M10!G33*$K$14,[24]M11!G33*$L$14,[24]M12!G33*$M$14)/$N$14</f>
        <v>0</v>
      </c>
      <c r="H38" s="178">
        <f>SUM([24]M01!H33*$B$14,[24]M02!H33*$C$14,[24]M03!H33*$D$14,[24]M04!H33*$E$14,[24]M05!H33*$F$14,[24]M06!H33*$G$14,[24]M07!H33*$H$14,[24]M08!H33*$I$14,[24]M09!H33*$J$14,[24]M10!H33*$K$14,[24]M11!H33*$L$14,[24]M12!H33*$M$14)/$N$14</f>
        <v>0</v>
      </c>
      <c r="I38" s="178">
        <f>SUM([24]M01!I33*$B$14,[24]M02!I33*$C$14,[24]M03!I33*$D$14,[24]M04!I33*$E$14,[24]M05!I33*$F$14,[24]M06!I33*$G$14,[24]M07!I33*$H$14,[24]M08!I33*$I$14,[24]M09!I33*$J$14,[24]M10!I33*$K$14,[24]M11!I33*$L$14,[24]M12!I33*$M$14)/$N$14</f>
        <v>0</v>
      </c>
      <c r="J38" s="178">
        <f>SUM([24]M01!J33*$B$14,[24]M02!J33*$C$14,[24]M03!J33*$D$14,[24]M04!J33*$E$14,[24]M05!J33*$F$14,[24]M06!J33*$G$14,[24]M07!J33*$H$14,[24]M08!J33*$I$14,[24]M09!J33*$J$14,[24]M10!J33*$K$14,[24]M11!J33*$L$14,[24]M12!J33*$M$14)/$N$14</f>
        <v>0</v>
      </c>
      <c r="K38" s="179">
        <f>SUM([24]M01!K33*$B$14,[24]M02!K33*$C$14,[24]M03!K33*$D$14,[24]M04!K33*$E$14,[24]M05!K33*$F$14,[24]M06!K33*$G$14,[24]M07!K33*$H$14,[24]M08!K33*$I$14,[24]M09!K33*$J$14,[24]M10!K33*$K$14,[24]M11!K33*$L$14,[24]M12!K33*$M$14)/$N$14</f>
        <v>0</v>
      </c>
      <c r="L38" s="152"/>
      <c r="N38" s="163"/>
    </row>
    <row r="39" spans="1:14" ht="20.25" customHeight="1">
      <c r="A39" s="151" t="s">
        <v>127</v>
      </c>
      <c r="L39" s="152"/>
      <c r="N39" s="163"/>
    </row>
    <row r="40" spans="1:14" ht="15" customHeight="1">
      <c r="A40" s="174" t="s">
        <v>124</v>
      </c>
      <c r="B40" s="175">
        <f>SUM([24]M01!I34,[24]M02!I34,[24]M03!I34,[24]M04!I34,[24]M05!I34,[24]M06!I34,[24]M07!I34,[24]M08!I34,[24]M09!I34,[24]M10!I34,[24]M11!I34,[24]M12!I34)</f>
        <v>0</v>
      </c>
      <c r="L40" s="152"/>
      <c r="N40" s="163"/>
    </row>
    <row r="41" spans="1:14" ht="9.9499999999999993" customHeight="1">
      <c r="L41" s="152"/>
      <c r="N41" s="163"/>
    </row>
    <row r="42" spans="1:14" ht="9.9499999999999993" customHeight="1" thickBot="1">
      <c r="L42" s="152"/>
      <c r="N42" s="163"/>
    </row>
    <row r="43" spans="1:14" ht="20.25" customHeight="1" thickTop="1">
      <c r="A43" s="180" t="s">
        <v>128</v>
      </c>
      <c r="B43" s="181"/>
      <c r="C43" s="181"/>
      <c r="D43" s="181"/>
      <c r="E43" s="181"/>
      <c r="F43" s="181"/>
      <c r="G43" s="181"/>
      <c r="H43" s="181"/>
      <c r="I43" s="181"/>
      <c r="J43" s="181"/>
      <c r="K43" s="182"/>
      <c r="L43" s="183"/>
      <c r="N43" s="163"/>
    </row>
    <row r="44" spans="1:14" ht="15" customHeight="1">
      <c r="A44" s="184" t="s">
        <v>64</v>
      </c>
      <c r="B44" s="185">
        <f>IFERROR(B54/B25,0)</f>
        <v>2.4760974464341907</v>
      </c>
      <c r="C44" s="186">
        <f t="shared" ref="C44:K44" si="0">IFERROR(C54/C25,0)</f>
        <v>2.591663821780803</v>
      </c>
      <c r="D44" s="186">
        <f t="shared" si="0"/>
        <v>2.4162538436568402</v>
      </c>
      <c r="E44" s="186">
        <f t="shared" si="0"/>
        <v>1.9524257816329169</v>
      </c>
      <c r="F44" s="186">
        <f t="shared" si="0"/>
        <v>0.95267597956863026</v>
      </c>
      <c r="G44" s="186">
        <f t="shared" si="0"/>
        <v>0.94638841950960806</v>
      </c>
      <c r="H44" s="186">
        <f t="shared" si="0"/>
        <v>0.18983492574778876</v>
      </c>
      <c r="I44" s="186">
        <f t="shared" si="0"/>
        <v>0.4918869731299535</v>
      </c>
      <c r="J44" s="186">
        <f t="shared" si="0"/>
        <v>0.6007516582957273</v>
      </c>
      <c r="K44" s="187">
        <f t="shared" si="0"/>
        <v>3.8983139741635084</v>
      </c>
      <c r="L44" s="183"/>
      <c r="N44" s="163"/>
    </row>
    <row r="45" spans="1:14" ht="15" customHeight="1">
      <c r="A45" s="188" t="s">
        <v>121</v>
      </c>
      <c r="B45" s="189">
        <f t="shared" ref="B45:K45" si="1">IFERROR(B55/B26,0)</f>
        <v>1.0847049684563133E-2</v>
      </c>
      <c r="C45" s="189">
        <f t="shared" si="1"/>
        <v>0</v>
      </c>
      <c r="D45" s="189">
        <f t="shared" si="1"/>
        <v>2.1588766067996761</v>
      </c>
      <c r="E45" s="189">
        <f t="shared" si="1"/>
        <v>1.3393938952474471</v>
      </c>
      <c r="F45" s="189">
        <f t="shared" si="1"/>
        <v>2.3608542040492773</v>
      </c>
      <c r="G45" s="189">
        <f t="shared" si="1"/>
        <v>2.1007269445538115</v>
      </c>
      <c r="H45" s="189">
        <f t="shared" si="1"/>
        <v>2.0613821270437374</v>
      </c>
      <c r="I45" s="189">
        <f t="shared" si="1"/>
        <v>0.84932716579016898</v>
      </c>
      <c r="J45" s="189">
        <f t="shared" si="1"/>
        <v>2.0074735147623963</v>
      </c>
      <c r="K45" s="190">
        <f t="shared" si="1"/>
        <v>0.59041899069854009</v>
      </c>
      <c r="L45" s="183"/>
      <c r="N45" s="163"/>
    </row>
    <row r="46" spans="1:14" ht="20.25" customHeight="1">
      <c r="A46" s="191" t="s">
        <v>129</v>
      </c>
      <c r="B46" s="192"/>
      <c r="C46" s="192"/>
      <c r="D46" s="192"/>
      <c r="E46" s="192"/>
      <c r="F46" s="192"/>
      <c r="G46" s="192"/>
      <c r="H46" s="192"/>
      <c r="I46" s="193"/>
      <c r="J46" s="193"/>
      <c r="K46" s="194"/>
      <c r="L46" s="183"/>
      <c r="N46" s="195"/>
    </row>
    <row r="47" spans="1:14" ht="15" customHeight="1">
      <c r="A47" s="196" t="s">
        <v>123</v>
      </c>
      <c r="B47" s="197">
        <f>B32</f>
        <v>6.3245188954602147</v>
      </c>
      <c r="C47" s="198"/>
      <c r="D47" s="198"/>
      <c r="E47" s="193"/>
      <c r="F47" s="193"/>
      <c r="G47" s="193"/>
      <c r="H47" s="192"/>
      <c r="I47" s="193"/>
      <c r="J47" s="193"/>
      <c r="K47" s="194"/>
      <c r="L47" s="183"/>
      <c r="N47" s="199"/>
    </row>
    <row r="48" spans="1:14" ht="15" customHeight="1">
      <c r="A48" s="200" t="s">
        <v>124</v>
      </c>
      <c r="B48" s="201">
        <f>B33+B40</f>
        <v>18.510719339783755</v>
      </c>
      <c r="C48" s="198"/>
      <c r="D48" s="198"/>
      <c r="E48" s="193"/>
      <c r="F48" s="193"/>
      <c r="G48" s="193"/>
      <c r="H48" s="192"/>
      <c r="I48" s="193"/>
      <c r="J48" s="193"/>
      <c r="K48" s="194"/>
      <c r="L48" s="183"/>
      <c r="N48" s="199"/>
    </row>
    <row r="49" spans="1:14" ht="9.9499999999999993" customHeight="1" thickBot="1">
      <c r="A49" s="202"/>
      <c r="B49" s="203"/>
      <c r="C49" s="204"/>
      <c r="D49" s="204"/>
      <c r="E49" s="204"/>
      <c r="F49" s="204"/>
      <c r="G49" s="204"/>
      <c r="H49" s="204"/>
      <c r="I49" s="204"/>
      <c r="J49" s="204"/>
      <c r="K49" s="205"/>
      <c r="L49" s="183"/>
      <c r="N49" s="163"/>
    </row>
    <row r="50" spans="1:14" ht="9.9499999999999993" customHeight="1" thickTop="1">
      <c r="B50" s="206"/>
      <c r="L50" s="152"/>
      <c r="N50" s="163"/>
    </row>
    <row r="51" spans="1:14" ht="20.25" customHeight="1">
      <c r="A51" s="207" t="s">
        <v>130</v>
      </c>
      <c r="B51" s="208"/>
      <c r="C51" s="208"/>
      <c r="D51" s="208"/>
      <c r="E51" s="208"/>
      <c r="F51" s="208"/>
      <c r="G51" s="208"/>
      <c r="H51" s="208"/>
      <c r="I51" s="208"/>
      <c r="J51" s="208"/>
      <c r="K51" s="208"/>
      <c r="L51" s="209">
        <f>ROUND(SUM(L54:L55,L57:L58),3)</f>
        <v>122359.073</v>
      </c>
      <c r="M51" s="209">
        <f>ROUND(B3,3)</f>
        <v>122359.073</v>
      </c>
      <c r="N51" s="249"/>
    </row>
    <row r="52" spans="1:14" ht="20.25" customHeight="1">
      <c r="A52" s="210" t="s">
        <v>131</v>
      </c>
      <c r="B52" s="208"/>
      <c r="C52" s="208"/>
      <c r="D52" s="208"/>
      <c r="E52" s="208"/>
      <c r="F52" s="208"/>
      <c r="G52" s="208"/>
      <c r="H52" s="208"/>
      <c r="I52" s="208"/>
      <c r="J52" s="208"/>
      <c r="K52" s="208"/>
      <c r="L52" s="162"/>
      <c r="M52" s="211">
        <f>M53+M56</f>
        <v>0.99999999946033036</v>
      </c>
      <c r="N52" s="163"/>
    </row>
    <row r="53" spans="1:14" ht="20.25" customHeight="1">
      <c r="A53" s="212" t="s">
        <v>19</v>
      </c>
      <c r="B53" s="213">
        <v>1</v>
      </c>
      <c r="C53" s="214">
        <v>2</v>
      </c>
      <c r="D53" s="214">
        <v>3</v>
      </c>
      <c r="E53" s="214">
        <v>4</v>
      </c>
      <c r="F53" s="214">
        <v>5</v>
      </c>
      <c r="G53" s="214">
        <v>6</v>
      </c>
      <c r="H53" s="214">
        <v>7</v>
      </c>
      <c r="I53" s="214">
        <v>8</v>
      </c>
      <c r="J53" s="214">
        <v>9</v>
      </c>
      <c r="K53" s="215">
        <v>10</v>
      </c>
      <c r="L53" s="216">
        <f>L54+L55</f>
        <v>52227.197651134993</v>
      </c>
      <c r="M53" s="211">
        <f>L53/$M$51</f>
        <v>0.42683551264837544</v>
      </c>
      <c r="N53" s="217"/>
    </row>
    <row r="54" spans="1:14" ht="15" customHeight="1">
      <c r="A54" s="218" t="s">
        <v>64</v>
      </c>
      <c r="B54" s="219">
        <f>SUM([24]M01!B38,[24]M02!B38,[24]M03!B38,[24]M04!B38,[24]M05!B38,[24]M06!B38,[24]M07!B38,[24]M08!B38,[24]M09!B38,[24]M10!B38,[24]M11!B38,[24]M12!B38)</f>
        <v>3123.8746230053493</v>
      </c>
      <c r="C54" s="220">
        <f>SUM([24]M01!C38,[24]M02!C38,[24]M03!C38,[24]M04!C38,[24]M05!C38,[24]M06!C38,[24]M07!C38,[24]M08!C38,[24]M09!C38,[24]M10!C38,[24]M11!C38,[24]M12!C38)</f>
        <v>3631.4237970963304</v>
      </c>
      <c r="D54" s="220">
        <f>SUM([24]M01!D38,[24]M02!D38,[24]M03!D38,[24]M04!D38,[24]M05!D38,[24]M06!D38,[24]M07!D38,[24]M08!D38,[24]M09!D38,[24]M10!D38,[24]M11!D38,[24]M12!D38)</f>
        <v>1671.9998179844288</v>
      </c>
      <c r="E54" s="220">
        <f>SUM([24]M01!E38,[24]M02!E38,[24]M03!E38,[24]M04!E38,[24]M05!E38,[24]M06!E38,[24]M07!E38,[24]M08!E38,[24]M09!E38,[24]M10!E38,[24]M11!E38,[24]M12!E38)</f>
        <v>6800.2087953563396</v>
      </c>
      <c r="F54" s="220">
        <f>SUM([24]M01!F38,[24]M02!F38,[24]M03!F38,[24]M04!F38,[24]M05!F38,[24]M06!F38,[24]M07!F38,[24]M08!F38,[24]M09!F38,[24]M10!F38,[24]M11!F38,[24]M12!F38)</f>
        <v>2713.1960867993976</v>
      </c>
      <c r="G54" s="220">
        <f>SUM([24]M01!G38,[24]M02!G38,[24]M03!G38,[24]M04!G38,[24]M05!G38,[24]M06!G38,[24]M07!G38,[24]M08!G38,[24]M09!G38,[24]M10!G38,[24]M11!G38,[24]M12!G38)</f>
        <v>1521.2812449083885</v>
      </c>
      <c r="H54" s="220">
        <f>SUM([24]M01!H38,[24]M02!H38,[24]M03!H38,[24]M04!H38,[24]M05!H38,[24]M06!H38,[24]M07!H38,[24]M08!H38,[24]M09!H38,[24]M10!H38,[24]M11!H38,[24]M12!H38)</f>
        <v>2.2025787094812941</v>
      </c>
      <c r="I54" s="220">
        <f>SUM([24]M01!I38,[24]M02!I38,[24]M03!I38,[24]M04!I38,[24]M05!I38,[24]M06!I38,[24]M07!I38,[24]M08!I38,[24]M09!I38,[24]M10!I38,[24]M11!I38,[24]M12!I38)</f>
        <v>165.78777432074995</v>
      </c>
      <c r="J54" s="220">
        <f>SUM([24]M01!J38,[24]M02!J38,[24]M03!J38,[24]M04!J38,[24]M05!J38,[24]M06!J38,[24]M07!J38,[24]M08!J38,[24]M09!J38,[24]M10!J38,[24]M11!J38,[24]M12!J38)</f>
        <v>704.21617272087474</v>
      </c>
      <c r="K54" s="221">
        <f>SUM([24]M01!K38,[24]M02!K38,[24]M03!K38,[24]M04!K38,[24]M05!K38,[24]M06!K38,[24]M07!K38,[24]M08!K38,[24]M09!K38,[24]M10!K38,[24]M11!K38,[24]M12!K38)</f>
        <v>4356.781816228764</v>
      </c>
      <c r="L54" s="222">
        <f>SUM(B54:K54)</f>
        <v>24690.972707130109</v>
      </c>
      <c r="M54" s="223">
        <f>L54/(L55+L54)</f>
        <v>0.47276081845439644</v>
      </c>
      <c r="N54" s="224"/>
    </row>
    <row r="55" spans="1:14" ht="15" customHeight="1">
      <c r="A55" s="225" t="s">
        <v>121</v>
      </c>
      <c r="B55" s="226">
        <f>SUM([24]M01!B39,[24]M02!B39,[24]M03!B39,[24]M04!B39,[24]M05!B39,[24]M06!B39,[24]M07!B39,[24]M08!B39,[24]M09!B39,[24]M10!B39,[24]M11!B39,[24]M12!B39)</f>
        <v>0.97010643089138826</v>
      </c>
      <c r="C55" s="227">
        <f>SUM([24]M01!C39,[24]M02!C39,[24]M03!C39,[24]M04!C39,[24]M05!C39,[24]M06!C39,[24]M07!C39,[24]M08!C39,[24]M09!C39,[24]M10!C39,[24]M11!C39,[24]M12!C39)</f>
        <v>0</v>
      </c>
      <c r="D55" s="227">
        <f>SUM([24]M01!D39,[24]M02!D39,[24]M03!D39,[24]M04!D39,[24]M05!D39,[24]M06!D39,[24]M07!D39,[24]M08!D39,[24]M09!D39,[24]M10!D39,[24]M11!D39,[24]M12!D39)</f>
        <v>32.649554475274215</v>
      </c>
      <c r="E55" s="227">
        <f>SUM([24]M01!E39,[24]M02!E39,[24]M03!E39,[24]M04!E39,[24]M05!E39,[24]M06!E39,[24]M07!E39,[24]M08!E39,[24]M09!E39,[24]M10!E39,[24]M11!E39,[24]M12!E39)</f>
        <v>1760.7500034807399</v>
      </c>
      <c r="F55" s="227">
        <f>SUM([24]M01!F39,[24]M02!F39,[24]M03!F39,[24]M04!F39,[24]M05!F39,[24]M06!F39,[24]M07!F39,[24]M08!F39,[24]M09!F39,[24]M10!F39,[24]M11!F39,[24]M12!F39)</f>
        <v>985.30982070799837</v>
      </c>
      <c r="G55" s="227">
        <f>SUM([24]M01!G39,[24]M02!G39,[24]M03!G39,[24]M04!G39,[24]M05!G39,[24]M06!G39,[24]M07!G39,[24]M08!G39,[24]M09!G39,[24]M10!G39,[24]M11!G39,[24]M12!G39)</f>
        <v>3520.6136432314406</v>
      </c>
      <c r="H55" s="227">
        <f>SUM([24]M01!H39,[24]M02!H39,[24]M03!H39,[24]M04!H39,[24]M05!H39,[24]M06!H39,[24]M07!H39,[24]M08!H39,[24]M09!H39,[24]M10!H39,[24]M11!H39,[24]M12!H39)</f>
        <v>18741.411814849689</v>
      </c>
      <c r="I55" s="227">
        <f>SUM([24]M01!I39,[24]M02!I39,[24]M03!I39,[24]M04!I39,[24]M05!I39,[24]M06!I39,[24]M07!I39,[24]M08!I39,[24]M09!I39,[24]M10!I39,[24]M11!I39,[24]M12!I39)</f>
        <v>21.676358059863539</v>
      </c>
      <c r="J55" s="227">
        <f>SUM([24]M01!J39,[24]M02!J39,[24]M03!J39,[24]M04!J39,[24]M05!J39,[24]M06!J39,[24]M07!J39,[24]M08!J39,[24]M09!J39,[24]M10!J39,[24]M11!J39,[24]M12!J39)</f>
        <v>2415.5832444407206</v>
      </c>
      <c r="K55" s="228">
        <f>SUM([24]M01!K39,[24]M02!K39,[24]M03!K39,[24]M04!K39,[24]M05!K39,[24]M06!K39,[24]M07!K39,[24]M08!K39,[24]M09!K39,[24]M10!K39,[24]M11!K39,[24]M12!K39)</f>
        <v>57.260398328269773</v>
      </c>
      <c r="L55" s="229">
        <f>SUM(B55:K55)</f>
        <v>27536.224944004887</v>
      </c>
      <c r="M55" s="230">
        <f>L55/(L54+L55)</f>
        <v>0.52723918154560367</v>
      </c>
      <c r="N55" s="105"/>
    </row>
    <row r="56" spans="1:14" ht="20.25" customHeight="1">
      <c r="A56" s="210" t="s">
        <v>132</v>
      </c>
      <c r="B56" s="208"/>
      <c r="C56" s="208"/>
      <c r="D56" s="208"/>
      <c r="E56" s="208"/>
      <c r="F56" s="208"/>
      <c r="G56" s="208"/>
      <c r="H56" s="208"/>
      <c r="I56" s="208"/>
      <c r="J56" s="208"/>
      <c r="K56" s="208"/>
      <c r="L56" s="216">
        <f>L57+L58</f>
        <v>70131.875282831519</v>
      </c>
      <c r="M56" s="211">
        <f>L56/$M$51</f>
        <v>0.57316448681195487</v>
      </c>
      <c r="N56" s="217"/>
    </row>
    <row r="57" spans="1:14" ht="15" customHeight="1">
      <c r="A57" s="218" t="s">
        <v>64</v>
      </c>
      <c r="B57" s="219">
        <f>SUM([24]M01!B41,[24]M02!B41,[24]M03!B41,[24]M04!B41,[24]M05!B41,[24]M06!B41,[24]M07!B41,[24]M08!B41,[24]M09!B41,[24]M10!B41,[24]M11!B41,[24]M12!B41)</f>
        <v>2414.5748239088011</v>
      </c>
      <c r="C57" s="220">
        <f>SUM([24]M01!C41,[24]M02!C41,[24]M03!C41,[24]M04!C41,[24]M05!C41,[24]M06!C41,[24]M07!C41,[24]M08!C41,[24]M09!C41,[24]M10!C41,[24]M11!C41,[24]M12!C41)</f>
        <v>3470.1370275611112</v>
      </c>
      <c r="D57" s="220">
        <f>SUM([24]M01!D41,[24]M02!D41,[24]M03!D41,[24]M04!D41,[24]M05!D41,[24]M06!D41,[24]M07!D41,[24]M08!D41,[24]M09!D41,[24]M10!D41,[24]M11!D41,[24]M12!D41)</f>
        <v>1227.589117608828</v>
      </c>
      <c r="E57" s="220">
        <f>SUM([24]M01!E41,[24]M02!E41,[24]M03!E41,[24]M04!E41,[24]M05!E41,[24]M06!E41,[24]M07!E41,[24]M08!E41,[24]M09!E41,[24]M10!E41,[24]M11!E41,[24]M12!E41)</f>
        <v>5158.9814542972581</v>
      </c>
      <c r="F57" s="220">
        <f>SUM([24]M01!F41,[24]M02!F41,[24]M03!F41,[24]M04!F41,[24]M05!F41,[24]M06!F41,[24]M07!F41,[24]M08!F41,[24]M09!F41,[24]M10!F41,[24]M11!F41,[24]M12!F41)</f>
        <v>5100.5347536217987</v>
      </c>
      <c r="G57" s="220">
        <f>SUM([24]M01!G41,[24]M02!G41,[24]M03!G41,[24]M04!G41,[24]M05!G41,[24]M06!G41,[24]M07!G41,[24]M08!G41,[24]M09!G41,[24]M10!G41,[24]M11!G41,[24]M12!G41)</f>
        <v>2855.2673005444685</v>
      </c>
      <c r="H57" s="220">
        <f>SUM([24]M01!H41,[24]M02!H41,[24]M03!H41,[24]M04!H41,[24]M05!H41,[24]M06!H41,[24]M07!H41,[24]M08!H41,[24]M09!H41,[24]M10!H41,[24]M11!H41,[24]M12!H41)</f>
        <v>968.53682365077736</v>
      </c>
      <c r="I57" s="220">
        <f>SUM([24]M01!I41,[24]M02!I41,[24]M03!I41,[24]M04!I41,[24]M05!I41,[24]M06!I41,[24]M07!I41,[24]M08!I41,[24]M09!I41,[24]M10!I41,[24]M11!I41,[24]M12!I41)</f>
        <v>1644.3749128196564</v>
      </c>
      <c r="J57" s="220">
        <f>SUM([24]M01!J41,[24]M02!J41,[24]M03!J41,[24]M04!J41,[24]M05!J41,[24]M06!J41,[24]M07!J41,[24]M08!J41,[24]M09!J41,[24]M10!J41,[24]M11!J41,[24]M12!J41)</f>
        <v>8704.1191298771209</v>
      </c>
      <c r="K57" s="221">
        <f>SUM([24]M01!K41,[24]M02!K41,[24]M03!K41,[24]M04!K41,[24]M05!K41,[24]M06!K41,[24]M07!K41,[24]M08!K41,[24]M09!K41,[24]M10!K41,[24]M11!K41,[24]M12!K41)</f>
        <v>1611.487414563263</v>
      </c>
      <c r="L57" s="222">
        <f>SUM(B57:K57)</f>
        <v>33155.602758453089</v>
      </c>
      <c r="M57" s="223">
        <f>L57/(L58+L57)</f>
        <v>0.47276081845439649</v>
      </c>
      <c r="N57" s="224"/>
    </row>
    <row r="58" spans="1:14" ht="15" customHeight="1">
      <c r="A58" s="225" t="s">
        <v>121</v>
      </c>
      <c r="B58" s="226">
        <f>SUM([24]M01!B42,[24]M02!B42,[24]M03!B42,[24]M04!B42,[24]M05!B42,[24]M06!B42,[24]M07!B42,[24]M08!B42,[24]M09!B42,[24]M10!B42,[24]M11!B42,[24]M12!B42)</f>
        <v>535.14489611314832</v>
      </c>
      <c r="C58" s="227">
        <f>SUM([24]M01!C42,[24]M02!C42,[24]M03!C42,[24]M04!C42,[24]M05!C42,[24]M06!C42,[24]M07!C42,[24]M08!C42,[24]M09!C42,[24]M10!C42,[24]M11!C42,[24]M12!C42)</f>
        <v>0</v>
      </c>
      <c r="D58" s="227">
        <f>SUM([24]M01!D42,[24]M02!D42,[24]M03!D42,[24]M04!D42,[24]M05!D42,[24]M06!D42,[24]M07!D42,[24]M08!D42,[24]M09!D42,[24]M10!D42,[24]M11!D42,[24]M12!D42)</f>
        <v>1.6659647405805376</v>
      </c>
      <c r="E58" s="227">
        <f>SUM([24]M01!E42,[24]M02!E42,[24]M03!E42,[24]M04!E42,[24]M05!E42,[24]M06!E42,[24]M07!E42,[24]M08!E42,[24]M09!E42,[24]M10!E42,[24]M11!E42,[24]M12!E42)</f>
        <v>2678.501088466709</v>
      </c>
      <c r="F58" s="227">
        <f>SUM([24]M01!F42,[24]M02!F42,[24]M03!F42,[24]M04!F42,[24]M05!F42,[24]M06!F42,[24]M07!F42,[24]M08!F42,[24]M09!F42,[24]M10!F42,[24]M11!F42,[24]M12!F42)</f>
        <v>4168.9842097060973</v>
      </c>
      <c r="G58" s="227">
        <f>SUM([24]M01!G42,[24]M02!G42,[24]M03!G42,[24]M04!G42,[24]M05!G42,[24]M06!G42,[24]M07!G42,[24]M08!G42,[24]M09!G42,[24]M10!G42,[24]M11!G42,[24]M12!G42)</f>
        <v>5463.9941347173681</v>
      </c>
      <c r="H58" s="227">
        <f>SUM([24]M01!H42,[24]M02!H42,[24]M03!H42,[24]M04!H42,[24]M05!H42,[24]M06!H42,[24]M07!H42,[24]M08!H42,[24]M09!H42,[24]M10!H42,[24]M11!H42,[24]M12!H42)</f>
        <v>20066.915514679375</v>
      </c>
      <c r="I58" s="227">
        <f>SUM([24]M01!I42,[24]M02!I42,[24]M03!I42,[24]M04!I42,[24]M05!I42,[24]M06!I42,[24]M07!I42,[24]M08!I42,[24]M09!I42,[24]M10!I42,[24]M11!I42,[24]M12!I42)</f>
        <v>35.170366745589128</v>
      </c>
      <c r="J58" s="227">
        <f>SUM([24]M01!J42,[24]M02!J42,[24]M03!J42,[24]M04!J42,[24]M05!J42,[24]M06!J42,[24]M07!J42,[24]M08!J42,[24]M09!J42,[24]M10!J42,[24]M11!J42,[24]M12!J42)</f>
        <v>2942.2788390586279</v>
      </c>
      <c r="K58" s="228">
        <f>SUM([24]M01!K42,[24]M02!K42,[24]M03!K42,[24]M04!K42,[24]M05!K42,[24]M06!K42,[24]M07!K42,[24]M08!K42,[24]M09!K42,[24]M10!K42,[24]M11!K42,[24]M12!K42)</f>
        <v>1083.6175101509411</v>
      </c>
      <c r="L58" s="229">
        <f>SUM(B58:K58)</f>
        <v>36976.272524378437</v>
      </c>
      <c r="M58" s="230">
        <f>L58/(L57+L58)</f>
        <v>0.52723918154560356</v>
      </c>
      <c r="N58" s="163"/>
    </row>
    <row r="59" spans="1:14" ht="20.25" customHeight="1">
      <c r="A59" s="210" t="s">
        <v>133</v>
      </c>
      <c r="B59" s="208"/>
      <c r="C59" s="208"/>
      <c r="D59" s="208"/>
      <c r="E59" s="208"/>
      <c r="F59" s="208"/>
      <c r="G59" s="208"/>
      <c r="H59" s="208"/>
      <c r="I59" s="208"/>
      <c r="J59" s="208"/>
      <c r="K59" s="208"/>
      <c r="L59" s="216">
        <f>L60+L61</f>
        <v>0</v>
      </c>
      <c r="M59" s="211">
        <f>IFERROR(L59/B7,0)</f>
        <v>0</v>
      </c>
      <c r="N59" s="163"/>
    </row>
    <row r="60" spans="1:14" ht="15" customHeight="1">
      <c r="A60" s="218" t="s">
        <v>134</v>
      </c>
      <c r="B60" s="219">
        <f>SUM([24]M01!B44,[24]M02!B44,[24]M03!B44,[24]M04!B44,[24]M05!B44,[24]M06!B44,[24]M07!B44,[24]M08!B44,[24]M09!B44,[24]M10!B44,[24]M11!B44,[24]M12!B44)</f>
        <v>0</v>
      </c>
      <c r="C60" s="220">
        <f>SUM([24]M01!C44,[24]M02!C44,[24]M03!C44,[24]M04!C44,[24]M05!C44,[24]M06!C44,[24]M07!C44,[24]M08!C44,[24]M09!C44,[24]M10!C44,[24]M11!C44,[24]M12!C44)</f>
        <v>0</v>
      </c>
      <c r="D60" s="220">
        <f>SUM([24]M01!D44,[24]M02!D44,[24]M03!D44,[24]M04!D44,[24]M05!D44,[24]M06!D44,[24]M07!D44,[24]M08!D44,[24]M09!D44,[24]M10!D44,[24]M11!D44,[24]M12!D44)</f>
        <v>0</v>
      </c>
      <c r="E60" s="220">
        <f>SUM([24]M01!E44,[24]M02!E44,[24]M03!E44,[24]M04!E44,[24]M05!E44,[24]M06!E44,[24]M07!E44,[24]M08!E44,[24]M09!E44,[24]M10!E44,[24]M11!E44,[24]M12!E44)</f>
        <v>0</v>
      </c>
      <c r="F60" s="220">
        <f>SUM([24]M01!F44,[24]M02!F44,[24]M03!F44,[24]M04!F44,[24]M05!F44,[24]M06!F44,[24]M07!F44,[24]M08!F44,[24]M09!F44,[24]M10!F44,[24]M11!F44,[24]M12!F44)</f>
        <v>0</v>
      </c>
      <c r="G60" s="220">
        <f>SUM([24]M01!G44,[24]M02!G44,[24]M03!G44,[24]M04!G44,[24]M05!G44,[24]M06!G44,[24]M07!G44,[24]M08!G44,[24]M09!G44,[24]M10!G44,[24]M11!G44,[24]M12!G44)</f>
        <v>0</v>
      </c>
      <c r="H60" s="220">
        <f>SUM([24]M01!H44,[24]M02!H44,[24]M03!H44,[24]M04!H44,[24]M05!H44,[24]M06!H44,[24]M07!H44,[24]M08!H44,[24]M09!H44,[24]M10!H44,[24]M11!H44,[24]M12!H44)</f>
        <v>0</v>
      </c>
      <c r="I60" s="220">
        <f>SUM([24]M01!I44,[24]M02!I44,[24]M03!I44,[24]M04!I44,[24]M05!I44,[24]M06!I44,[24]M07!I44,[24]M08!I44,[24]M09!I44,[24]M10!I44,[24]M11!I44,[24]M12!I44)</f>
        <v>0</v>
      </c>
      <c r="J60" s="220">
        <f>SUM([24]M01!J44,[24]M02!J44,[24]M03!J44,[24]M04!J44,[24]M05!J44,[24]M06!J44,[24]M07!J44,[24]M08!J44,[24]M09!J44,[24]M10!J44,[24]M11!J44,[24]M12!J44)</f>
        <v>0</v>
      </c>
      <c r="K60" s="221">
        <f>SUM([24]M01!K44,[24]M02!K44,[24]M03!K44,[24]M04!K44,[24]M05!K44,[24]M06!K44,[24]M07!K44,[24]M08!K44,[24]M09!K44,[24]M10!K44,[24]M11!K44,[24]M12!K44)</f>
        <v>0</v>
      </c>
      <c r="L60" s="222">
        <f>SUM(B60:K60)</f>
        <v>0</v>
      </c>
      <c r="M60" s="223" t="e">
        <f>L60/(L61+L60)</f>
        <v>#DIV/0!</v>
      </c>
      <c r="N60" s="163"/>
    </row>
    <row r="61" spans="1:14" ht="15" customHeight="1">
      <c r="A61" s="225" t="s">
        <v>135</v>
      </c>
      <c r="B61" s="226">
        <f>SUM([24]M01!B45,[24]M02!B45,[24]M03!B45,[24]M04!B45,[24]M05!B45,[24]M06!B45,[24]M07!B45,[24]M08!B45,[24]M09!B45,[24]M10!B45,[24]M11!B45,[24]M12!B45)</f>
        <v>0</v>
      </c>
      <c r="C61" s="227">
        <f>SUM([24]M01!C45,[24]M02!C45,[24]M03!C45,[24]M04!C45,[24]M05!C45,[24]M06!C45,[24]M07!C45,[24]M08!C45,[24]M09!C45,[24]M10!C45,[24]M11!C45,[24]M12!C45)</f>
        <v>0</v>
      </c>
      <c r="D61" s="227">
        <f>SUM([24]M01!D45,[24]M02!D45,[24]M03!D45,[24]M04!D45,[24]M05!D45,[24]M06!D45,[24]M07!D45,[24]M08!D45,[24]M09!D45,[24]M10!D45,[24]M11!D45,[24]M12!D45)</f>
        <v>0</v>
      </c>
      <c r="E61" s="227">
        <f>SUM([24]M01!E45,[24]M02!E45,[24]M03!E45,[24]M04!E45,[24]M05!E45,[24]M06!E45,[24]M07!E45,[24]M08!E45,[24]M09!E45,[24]M10!E45,[24]M11!E45,[24]M12!E45)</f>
        <v>0</v>
      </c>
      <c r="F61" s="227">
        <f>SUM([24]M01!F45,[24]M02!F45,[24]M03!F45,[24]M04!F45,[24]M05!F45,[24]M06!F45,[24]M07!F45,[24]M08!F45,[24]M09!F45,[24]M10!F45,[24]M11!F45,[24]M12!F45)</f>
        <v>0</v>
      </c>
      <c r="G61" s="227">
        <f>SUM([24]M01!G45,[24]M02!G45,[24]M03!G45,[24]M04!G45,[24]M05!G45,[24]M06!G45,[24]M07!G45,[24]M08!G45,[24]M09!G45,[24]M10!G45,[24]M11!G45,[24]M12!G45)</f>
        <v>0</v>
      </c>
      <c r="H61" s="227">
        <f>SUM([24]M01!H45,[24]M02!H45,[24]M03!H45,[24]M04!H45,[24]M05!H45,[24]M06!H45,[24]M07!H45,[24]M08!H45,[24]M09!H45,[24]M10!H45,[24]M11!H45,[24]M12!H45)</f>
        <v>0</v>
      </c>
      <c r="I61" s="227">
        <f>SUM([24]M01!I45,[24]M02!I45,[24]M03!I45,[24]M04!I45,[24]M05!I45,[24]M06!I45,[24]M07!I45,[24]M08!I45,[24]M09!I45,[24]M10!I45,[24]M11!I45,[24]M12!I45)</f>
        <v>0</v>
      </c>
      <c r="J61" s="227">
        <f>SUM([24]M01!J45,[24]M02!J45,[24]M03!J45,[24]M04!J45,[24]M05!J45,[24]M06!J45,[24]M07!J45,[24]M08!J45,[24]M09!J45,[24]M10!J45,[24]M11!J45,[24]M12!J45)</f>
        <v>0</v>
      </c>
      <c r="K61" s="228">
        <f>SUM([24]M01!K45,[24]M02!K45,[24]M03!K45,[24]M04!K45,[24]M05!K45,[24]M06!K45,[24]M07!K45,[24]M08!K45,[24]M09!K45,[24]M10!K45,[24]M11!K45,[24]M12!K45)</f>
        <v>0</v>
      </c>
      <c r="L61" s="229">
        <f>SUM(B61:K61)</f>
        <v>0</v>
      </c>
      <c r="M61" s="230" t="e">
        <f>L61/(L60+L61)</f>
        <v>#DIV/0!</v>
      </c>
      <c r="N61" s="163"/>
    </row>
    <row r="62" spans="1:14" ht="20.25" hidden="1" customHeight="1">
      <c r="A62" s="210" t="s">
        <v>136</v>
      </c>
      <c r="B62" s="231"/>
      <c r="C62" s="231"/>
      <c r="D62" s="231"/>
      <c r="E62" s="231"/>
      <c r="F62" s="231"/>
      <c r="G62" s="232">
        <f>SUM([24]M01!G46,[24]M02!G46,[24]M03!G46,[24]M04!G46,[24]M05!G46,[24]M06!G46,[24]M07!G46,[24]M08!G46,[24]M09!G46,[24]M10!G46,[24]M11!G46,[24]M12!G46)</f>
        <v>0</v>
      </c>
      <c r="H62" s="233">
        <f>G62/L51</f>
        <v>0</v>
      </c>
      <c r="I62" s="231"/>
      <c r="J62" s="231"/>
      <c r="K62" s="231"/>
      <c r="L62" s="209"/>
      <c r="N62" s="163"/>
    </row>
    <row r="63" spans="1:14" ht="15" customHeight="1">
      <c r="A63" s="231"/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09"/>
      <c r="N63" s="163"/>
    </row>
    <row r="64" spans="1:14" ht="20.25" customHeight="1">
      <c r="A64" s="234" t="s">
        <v>137</v>
      </c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216">
        <f>L65+L66</f>
        <v>122359.07293396653</v>
      </c>
      <c r="M64" s="236">
        <f>L64/(B3+B7)</f>
        <v>1.0000000000000002</v>
      </c>
      <c r="N64" s="237"/>
    </row>
    <row r="65" spans="1:14" ht="15" customHeight="1">
      <c r="A65" s="238" t="s">
        <v>64</v>
      </c>
      <c r="B65" s="239">
        <f>B54+B57</f>
        <v>5538.44944691415</v>
      </c>
      <c r="C65" s="240">
        <f t="shared" ref="C65:K65" si="2">C54+C57</f>
        <v>7101.5608246574411</v>
      </c>
      <c r="D65" s="240">
        <f t="shared" si="2"/>
        <v>2899.5889355932568</v>
      </c>
      <c r="E65" s="240">
        <f t="shared" si="2"/>
        <v>11959.190249653599</v>
      </c>
      <c r="F65" s="240">
        <f t="shared" si="2"/>
        <v>7813.7308404211963</v>
      </c>
      <c r="G65" s="240">
        <f t="shared" si="2"/>
        <v>4376.5485454528571</v>
      </c>
      <c r="H65" s="240">
        <f t="shared" si="2"/>
        <v>970.73940236025862</v>
      </c>
      <c r="I65" s="240">
        <f t="shared" si="2"/>
        <v>1810.1626871404064</v>
      </c>
      <c r="J65" s="240">
        <f t="shared" si="2"/>
        <v>9408.3353025979959</v>
      </c>
      <c r="K65" s="241">
        <f t="shared" si="2"/>
        <v>5968.269230792027</v>
      </c>
      <c r="L65" s="222">
        <f>SUM(B65:K65)</f>
        <v>57846.575465583199</v>
      </c>
      <c r="M65" s="223">
        <f>L65/(L66+L65)</f>
        <v>0.47276081845439644</v>
      </c>
      <c r="N65" s="237"/>
    </row>
    <row r="66" spans="1:14" ht="15" customHeight="1">
      <c r="A66" s="242" t="s">
        <v>121</v>
      </c>
      <c r="B66" s="243">
        <f>B55+B58+B60+B61</f>
        <v>536.11500254403973</v>
      </c>
      <c r="C66" s="244">
        <f t="shared" ref="C66:K66" si="3">C55+C58+C60+C61</f>
        <v>0</v>
      </c>
      <c r="D66" s="244">
        <f t="shared" si="3"/>
        <v>34.315519215854749</v>
      </c>
      <c r="E66" s="244">
        <f t="shared" si="3"/>
        <v>4439.2510919474489</v>
      </c>
      <c r="F66" s="244">
        <f t="shared" si="3"/>
        <v>5154.2940304140957</v>
      </c>
      <c r="G66" s="244">
        <f t="shared" si="3"/>
        <v>8984.6077779488078</v>
      </c>
      <c r="H66" s="244">
        <f t="shared" si="3"/>
        <v>38808.327329529064</v>
      </c>
      <c r="I66" s="244">
        <f t="shared" si="3"/>
        <v>56.846724805452666</v>
      </c>
      <c r="J66" s="244">
        <f t="shared" si="3"/>
        <v>5357.862083499349</v>
      </c>
      <c r="K66" s="245">
        <f t="shared" si="3"/>
        <v>1140.8779084792109</v>
      </c>
      <c r="L66" s="229">
        <f>SUM(B66:K66)</f>
        <v>64512.497468383321</v>
      </c>
      <c r="M66" s="230">
        <f>L66/(L65+L66)</f>
        <v>0.52723918154560356</v>
      </c>
      <c r="N66" s="237"/>
    </row>
    <row r="67" spans="1:14" ht="15" customHeight="1">
      <c r="B67" s="233">
        <f>B65/$L$64</f>
        <v>4.5263904948863766E-2</v>
      </c>
      <c r="C67" s="233">
        <f t="shared" ref="C67:K67" si="4">C65/$L$64</f>
        <v>5.8038694265769221E-2</v>
      </c>
      <c r="D67" s="233">
        <f t="shared" si="4"/>
        <v>2.3697375814199548E-2</v>
      </c>
      <c r="E67" s="233">
        <f t="shared" si="4"/>
        <v>9.77384836521899E-2</v>
      </c>
      <c r="F67" s="233">
        <f t="shared" si="4"/>
        <v>6.3859022899250217E-2</v>
      </c>
      <c r="G67" s="233">
        <f t="shared" si="4"/>
        <v>3.5768075390819179E-2</v>
      </c>
      <c r="H67" s="233">
        <f t="shared" si="4"/>
        <v>7.9335302163014692E-3</v>
      </c>
      <c r="I67" s="233">
        <f t="shared" si="4"/>
        <v>1.4793857486296061E-2</v>
      </c>
      <c r="J67" s="233">
        <f t="shared" si="4"/>
        <v>7.6891194718967742E-2</v>
      </c>
      <c r="K67" s="233">
        <f t="shared" si="4"/>
        <v>4.8776679061739221E-2</v>
      </c>
      <c r="N67" s="163"/>
    </row>
    <row r="68" spans="1:14" ht="15" customHeight="1">
      <c r="B68" s="233">
        <f t="shared" ref="B68:K68" si="5">B66/$L$64</f>
        <v>4.3814895756309358E-3</v>
      </c>
      <c r="C68" s="233">
        <f t="shared" si="5"/>
        <v>0</v>
      </c>
      <c r="D68" s="233">
        <f t="shared" si="5"/>
        <v>2.8044932339732416E-4</v>
      </c>
      <c r="E68" s="233">
        <f t="shared" si="5"/>
        <v>3.628052244514126E-2</v>
      </c>
      <c r="F68" s="233">
        <f t="shared" si="5"/>
        <v>4.2124330520187186E-2</v>
      </c>
      <c r="G68" s="233">
        <f t="shared" si="5"/>
        <v>7.3428210614161216E-2</v>
      </c>
      <c r="H68" s="233">
        <f t="shared" si="5"/>
        <v>0.31716754956514537</v>
      </c>
      <c r="I68" s="233">
        <f t="shared" si="5"/>
        <v>4.6458937161228018E-4</v>
      </c>
      <c r="J68" s="233">
        <f t="shared" si="5"/>
        <v>4.378802450056829E-2</v>
      </c>
      <c r="K68" s="233">
        <f t="shared" si="5"/>
        <v>9.324015629759699E-3</v>
      </c>
      <c r="N68" s="163"/>
    </row>
    <row r="69" spans="1:14" ht="15" customHeight="1">
      <c r="B69" s="246"/>
      <c r="C69" s="246"/>
      <c r="D69" s="246"/>
      <c r="E69" s="246"/>
      <c r="F69" s="246"/>
      <c r="G69" s="246"/>
      <c r="H69" s="246"/>
      <c r="I69" s="246"/>
      <c r="J69" s="246"/>
      <c r="K69" s="246"/>
      <c r="L69" s="247"/>
      <c r="M69" s="248"/>
    </row>
    <row r="70" spans="1:14" ht="15" customHeight="1">
      <c r="B70" s="246"/>
      <c r="C70" s="246"/>
      <c r="D70" s="246"/>
      <c r="E70" s="246"/>
      <c r="F70" s="246"/>
      <c r="G70" s="246"/>
      <c r="H70" s="246"/>
      <c r="I70" s="246"/>
      <c r="J70" s="246"/>
      <c r="K70" s="246"/>
    </row>
    <row r="71" spans="1:14" ht="15" customHeight="1"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7"/>
    </row>
    <row r="72" spans="1:14" ht="15" customHeight="1"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7"/>
    </row>
  </sheetData>
  <conditionalFormatting sqref="B29:K30">
    <cfRule type="cellIs" dxfId="12" priority="16" operator="equal">
      <formula>0</formula>
    </cfRule>
  </conditionalFormatting>
  <conditionalFormatting sqref="B44:K45">
    <cfRule type="cellIs" dxfId="11" priority="1" operator="equal">
      <formula>0</formula>
    </cfRule>
  </conditionalFormatting>
  <conditionalFormatting sqref="B19:L20 B38:K38">
    <cfRule type="cellIs" dxfId="10" priority="18" operator="equal">
      <formula>0</formula>
    </cfRule>
  </conditionalFormatting>
  <conditionalFormatting sqref="B22:L23">
    <cfRule type="cellIs" dxfId="9" priority="11" operator="equal">
      <formula>0</formula>
    </cfRule>
  </conditionalFormatting>
  <conditionalFormatting sqref="B25:L27">
    <cfRule type="cellIs" dxfId="8" priority="14" operator="equal">
      <formula>0</formula>
    </cfRule>
  </conditionalFormatting>
  <conditionalFormatting sqref="B54:L55">
    <cfRule type="cellIs" dxfId="7" priority="7" operator="equal">
      <formula>0</formula>
    </cfRule>
  </conditionalFormatting>
  <conditionalFormatting sqref="B57:L58">
    <cfRule type="cellIs" dxfId="6" priority="6" operator="equal">
      <formula>0</formula>
    </cfRule>
  </conditionalFormatting>
  <conditionalFormatting sqref="B60:L61">
    <cfRule type="cellIs" dxfId="5" priority="5" operator="equal">
      <formula>0</formula>
    </cfRule>
  </conditionalFormatting>
  <conditionalFormatting sqref="B65:L66">
    <cfRule type="cellIs" dxfId="4" priority="3" operator="equal">
      <formula>0</formula>
    </cfRule>
  </conditionalFormatting>
  <conditionalFormatting sqref="L51">
    <cfRule type="cellIs" dxfId="3" priority="2" stopIfTrue="1" operator="notEqual">
      <formula>$M$51</formula>
    </cfRule>
  </conditionalFormatting>
  <conditionalFormatting sqref="M51">
    <cfRule type="cellIs" dxfId="2" priority="8" stopIfTrue="1" operator="notEqual">
      <formula>$L$51</formula>
    </cfRule>
  </conditionalFormatting>
  <conditionalFormatting sqref="N12:N13">
    <cfRule type="cellIs" dxfId="1" priority="10" stopIfTrue="1" operator="notEqual">
      <formula>8760</formula>
    </cfRule>
  </conditionalFormatting>
  <conditionalFormatting sqref="N14">
    <cfRule type="cellIs" dxfId="0" priority="9" stopIfTrue="1" operator="notEqual">
      <formula>1</formula>
    </cfRule>
  </conditionalFormatting>
  <printOptions horizontalCentered="1"/>
  <pageMargins left="0.39370078740157483" right="0.39370078740157483" top="0.98425196850393704" bottom="0.39370078740157483" header="0.59055118110236227" footer="0.31496062992125984"/>
  <pageSetup paperSize="9" scale="76" orientation="portrait" r:id="rId1"/>
  <headerFooter>
    <oddHeader>&amp;C&amp;Z&amp;F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Datos fijos AÑO 1</vt:lpstr>
      <vt:lpstr>Datos fijos AÑO 2 </vt:lpstr>
      <vt:lpstr>Datos fijos AÑO 3</vt:lpstr>
      <vt:lpstr>Datos fijos AÑO 4</vt:lpstr>
      <vt:lpstr>CUSPT Equivalente - Generadores</vt:lpstr>
      <vt:lpstr>CUSPT AÑO 1 </vt:lpstr>
      <vt:lpstr>CUSPT AÑO 2</vt:lpstr>
      <vt:lpstr>CUSPT AÑO 3</vt:lpstr>
      <vt:lpstr>CUSPT AÑO 4  </vt:lpstr>
      <vt:lpstr>'CUSPT AÑO 1 '!Área_de_impresión</vt:lpstr>
      <vt:lpstr>'CUSPT AÑO 2'!Área_de_impresión</vt:lpstr>
      <vt:lpstr>'CUSPT AÑO 3'!Área_de_impresión</vt:lpstr>
      <vt:lpstr>'CUSPT AÑO 4  '!Área_de_impresión</vt:lpstr>
      <vt:lpstr>'CUSPT Equivalente - Generadores'!Área_de_impresión</vt:lpstr>
      <vt:lpstr>'Datos fijos AÑO 1'!Área_de_impresión</vt:lpstr>
      <vt:lpstr>'Datos fijos AÑO 2 '!Área_de_impresión</vt:lpstr>
      <vt:lpstr>'Datos fijos AÑO 3'!Área_de_impresión</vt:lpstr>
      <vt:lpstr>'Datos fijos AÑO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Hernandez Cárdenas</dc:creator>
  <cp:lastModifiedBy>Enrique Hernandez Cárdenas</cp:lastModifiedBy>
  <dcterms:created xsi:type="dcterms:W3CDTF">2022-09-01T08:17:20Z</dcterms:created>
  <dcterms:modified xsi:type="dcterms:W3CDTF">2026-01-13T16:24:56Z</dcterms:modified>
</cp:coreProperties>
</file>