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hernandezc\Desktop\disco interno\Nuevo Regimen Tarifario 2025-2029\PLIEGO TARIFARIO 2025 -2029\4TA ENTREGA-USB PT FINAL 29_12_2025\Cargos de Conexion\"/>
    </mc:Choice>
  </mc:AlternateContent>
  <xr:revisionPtr revIDLastSave="0" documentId="8_{1BEA6072-6F8B-47D4-B027-82A588DBE9F5}" xr6:coauthVersionLast="47" xr6:coauthVersionMax="47" xr10:uidLastSave="{00000000-0000-0000-0000-000000000000}"/>
  <bookViews>
    <workbookView xWindow="-120" yWindow="-120" windowWidth="29040" windowHeight="16440" tabRatio="891" xr2:uid="{00000000-000D-0000-FFFF-FFFF00000000}"/>
  </bookViews>
  <sheets>
    <sheet name="Resumen" sheetId="48" r:id="rId1"/>
    <sheet name="CX cxj Año1 " sheetId="13" r:id="rId2"/>
    <sheet name="CX cxj Año2" sheetId="62" r:id="rId3"/>
    <sheet name="CX cxj Año3" sheetId="63" r:id="rId4"/>
    <sheet name="CX cxj Año4" sheetId="61" r:id="rId5"/>
    <sheet name="VERIFICACIÓN DE INGRESOS" sheetId="81" r:id="rId6"/>
    <sheet name=" VNR" sheetId="1" r:id="rId7"/>
    <sheet name="SALIDAS Y TRANSFORMACION" sheetId="20" r:id="rId8"/>
    <sheet name="VNR APROBADO" sheetId="78" r:id="rId9"/>
    <sheet name="Plan de Expansión" sheetId="85" r:id="rId10"/>
    <sheet name="N de Instalaciones" sheetId="3" r:id="rId11"/>
    <sheet name="IMP Existente APROBADO" sheetId="80" r:id="rId12"/>
    <sheet name="IPCT VNR_FA" sheetId="68" r:id="rId13"/>
    <sheet name="Parámetros de eficiencia" sheetId="52" r:id="rId14"/>
    <sheet name="Hoja1" sheetId="87" state="hidden" r:id="rId15"/>
    <sheet name="Activos Reconocidos" sheetId="71" state="hidden" r:id="rId16"/>
    <sheet name=" IMP Existente 2017 2021" sheetId="69" state="hidden" r:id="rId17"/>
    <sheet name="Activos Reconocidos APROBADOS" sheetId="79" state="hidden" r:id="rId18"/>
    <sheet name="VNR consulta (015 17)" sheetId="66" state="hidden" r:id="rId19"/>
    <sheet name="Ingreso Conexion (1er sem)" sheetId="82" state="hidden" r:id="rId20"/>
    <sheet name="LL.SANCHEZ CONEX 230" sheetId="76" state="hidden" r:id="rId21"/>
    <sheet name="LL. SANCHEZ 230" sheetId="86" state="hidden" r:id="rId22"/>
    <sheet name="CHORRERA CONEX 230" sheetId="75" state="hidden" r:id="rId23"/>
    <sheet name="CH. AZUL CONEX 115" sheetId="77" state="hidden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</externalReferences>
  <definedNames>
    <definedName name="\0" localSheetId="19">#REF!</definedName>
    <definedName name="\0" localSheetId="5">#REF!</definedName>
    <definedName name="\0">#REF!</definedName>
    <definedName name="\a" localSheetId="19">#REF!</definedName>
    <definedName name="\a" localSheetId="5">#REF!</definedName>
    <definedName name="\a">#REF!</definedName>
    <definedName name="\b" localSheetId="19">#REF!</definedName>
    <definedName name="\b" localSheetId="5">#REF!</definedName>
    <definedName name="\b">#REF!</definedName>
    <definedName name="\c" localSheetId="19">#REF!</definedName>
    <definedName name="\c" localSheetId="5">#REF!</definedName>
    <definedName name="\c">#REF!</definedName>
    <definedName name="\d" localSheetId="19">#REF!</definedName>
    <definedName name="\d" localSheetId="5">#REF!</definedName>
    <definedName name="\d">#REF!</definedName>
    <definedName name="\e" localSheetId="19">#REF!</definedName>
    <definedName name="\e" localSheetId="5">#REF!</definedName>
    <definedName name="\e">#REF!</definedName>
    <definedName name="\f" localSheetId="19">#REF!</definedName>
    <definedName name="\f" localSheetId="5">#REF!</definedName>
    <definedName name="\f">#REF!</definedName>
    <definedName name="\g" localSheetId="19">#REF!</definedName>
    <definedName name="\g" localSheetId="5">#REF!</definedName>
    <definedName name="\g">#REF!</definedName>
    <definedName name="\h" localSheetId="19">#REF!</definedName>
    <definedName name="\h" localSheetId="5">#REF!</definedName>
    <definedName name="\h">#REF!</definedName>
    <definedName name="\i" localSheetId="19">#REF!</definedName>
    <definedName name="\i" localSheetId="5">#REF!</definedName>
    <definedName name="\i">#REF!</definedName>
    <definedName name="\j" localSheetId="19">#REF!</definedName>
    <definedName name="\j" localSheetId="5">#REF!</definedName>
    <definedName name="\j">#REF!</definedName>
    <definedName name="\k" localSheetId="19">#REF!</definedName>
    <definedName name="\k" localSheetId="5">#REF!</definedName>
    <definedName name="\k">#REF!</definedName>
    <definedName name="\m" localSheetId="19">#REF!</definedName>
    <definedName name="\m" localSheetId="5">#REF!</definedName>
    <definedName name="\m">#REF!</definedName>
    <definedName name="\r" localSheetId="19">#REF!</definedName>
    <definedName name="\r" localSheetId="5">#REF!</definedName>
    <definedName name="\r">#REF!</definedName>
    <definedName name="\w" localSheetId="19">#REF!</definedName>
    <definedName name="\w" localSheetId="5">#REF!</definedName>
    <definedName name="\w">#REF!</definedName>
    <definedName name="\z" localSheetId="19">#REF!</definedName>
    <definedName name="\z" localSheetId="5">#REF!</definedName>
    <definedName name="\z">#REF!</definedName>
    <definedName name="__CFP1" localSheetId="19">#REF!</definedName>
    <definedName name="__CFP1" localSheetId="5">#REF!</definedName>
    <definedName name="__CFP1">#REF!</definedName>
    <definedName name="__COP1" localSheetId="19">#REF!</definedName>
    <definedName name="__COP1" localSheetId="5">#REF!</definedName>
    <definedName name="__COP1">#REF!</definedName>
    <definedName name="__ERP1" localSheetId="19">#REF!</definedName>
    <definedName name="__ERP1" localSheetId="5">#REF!</definedName>
    <definedName name="__ERP1">#REF!</definedName>
    <definedName name="__ESP1" localSheetId="19">#REF!</definedName>
    <definedName name="__ESP1" localSheetId="5">#REF!</definedName>
    <definedName name="__ESP1">#REF!</definedName>
    <definedName name="__OAP1" localSheetId="19">#REF!</definedName>
    <definedName name="__OAP1" localSheetId="5">#REF!</definedName>
    <definedName name="__OAP1">#REF!</definedName>
    <definedName name="__PRO2" localSheetId="19">#REF!</definedName>
    <definedName name="__PRO2" localSheetId="5">#REF!</definedName>
    <definedName name="__PRO2">#REF!</definedName>
    <definedName name="__PRO3" localSheetId="19">#REF!</definedName>
    <definedName name="__PRO3" localSheetId="5">#REF!</definedName>
    <definedName name="__PRO3">#REF!</definedName>
    <definedName name="__PRO4" localSheetId="19">#REF!</definedName>
    <definedName name="__PRO4" localSheetId="5">#REF!</definedName>
    <definedName name="__PRO4">#REF!</definedName>
    <definedName name="__RFP1" localSheetId="19">#REF!</definedName>
    <definedName name="__RFP1" localSheetId="5">#REF!</definedName>
    <definedName name="__RFP1">#REF!</definedName>
    <definedName name="__SE1" localSheetId="19">#REF!</definedName>
    <definedName name="__SE1" localSheetId="5">#REF!</definedName>
    <definedName name="__SE1">#REF!</definedName>
    <definedName name="__SE11" localSheetId="19">#REF!</definedName>
    <definedName name="__SE11" localSheetId="5">#REF!</definedName>
    <definedName name="__SE11">#REF!</definedName>
    <definedName name="__SE12" localSheetId="19">#REF!</definedName>
    <definedName name="__SE12" localSheetId="5">#REF!</definedName>
    <definedName name="__SE12">#REF!</definedName>
    <definedName name="__SE13" localSheetId="19">#REF!</definedName>
    <definedName name="__SE13" localSheetId="5">#REF!</definedName>
    <definedName name="__SE13">#REF!</definedName>
    <definedName name="__SE14" localSheetId="19">#REF!</definedName>
    <definedName name="__SE14" localSheetId="5">#REF!</definedName>
    <definedName name="__SE14">#REF!</definedName>
    <definedName name="__SE15" localSheetId="19">#REF!</definedName>
    <definedName name="__SE15" localSheetId="5">#REF!</definedName>
    <definedName name="__SE15">#REF!</definedName>
    <definedName name="__SE16" localSheetId="19">#REF!</definedName>
    <definedName name="__SE16" localSheetId="5">#REF!</definedName>
    <definedName name="__SE16">#REF!</definedName>
    <definedName name="__SE2" localSheetId="19">#REF!</definedName>
    <definedName name="__SE2" localSheetId="5">#REF!</definedName>
    <definedName name="__SE2">#REF!</definedName>
    <definedName name="__SE3" localSheetId="19">#REF!</definedName>
    <definedName name="__SE3" localSheetId="5">#REF!</definedName>
    <definedName name="__SE3">#REF!</definedName>
    <definedName name="__SE4" localSheetId="19">#REF!</definedName>
    <definedName name="__SE4" localSheetId="5">#REF!</definedName>
    <definedName name="__SE4">#REF!</definedName>
    <definedName name="__SE5" localSheetId="19">#REF!</definedName>
    <definedName name="__SE5" localSheetId="5">#REF!</definedName>
    <definedName name="__SE5">#REF!</definedName>
    <definedName name="__SE6" localSheetId="19">#REF!</definedName>
    <definedName name="__SE6" localSheetId="5">#REF!</definedName>
    <definedName name="__SE6">#REF!</definedName>
    <definedName name="__TST1" localSheetId="19">#REF!</definedName>
    <definedName name="__TST1" localSheetId="5">#REF!</definedName>
    <definedName name="__TST1">#REF!</definedName>
    <definedName name="__TST2" localSheetId="19">#REF!</definedName>
    <definedName name="__TST2" localSheetId="5">#REF!</definedName>
    <definedName name="__TST2">#REF!</definedName>
    <definedName name="__TST3" localSheetId="19">#REF!</definedName>
    <definedName name="__TST3" localSheetId="5">#REF!</definedName>
    <definedName name="__TST3">#REF!</definedName>
    <definedName name="_2" localSheetId="19">#REF!</definedName>
    <definedName name="_2" localSheetId="5">#REF!</definedName>
    <definedName name="_2">#REF!</definedName>
    <definedName name="_CFP1" localSheetId="19">#REF!</definedName>
    <definedName name="_CFP1" localSheetId="5">#REF!</definedName>
    <definedName name="_CFP1">#REF!</definedName>
    <definedName name="_COP1" localSheetId="19">#REF!</definedName>
    <definedName name="_COP1" localSheetId="5">#REF!</definedName>
    <definedName name="_COP1">#REF!</definedName>
    <definedName name="_ERP1" localSheetId="19">#REF!</definedName>
    <definedName name="_ERP1" localSheetId="5">#REF!</definedName>
    <definedName name="_ERP1">#REF!</definedName>
    <definedName name="_ESP1" localSheetId="19">#REF!</definedName>
    <definedName name="_ESP1" localSheetId="5">#REF!</definedName>
    <definedName name="_ESP1">#REF!</definedName>
    <definedName name="_Fill" localSheetId="16" hidden="1">#REF!</definedName>
    <definedName name="_Fill" localSheetId="17" hidden="1">#REF!</definedName>
    <definedName name="_Fill" localSheetId="11" hidden="1">#REF!</definedName>
    <definedName name="_Fill" localSheetId="19" hidden="1">#REF!</definedName>
    <definedName name="_Fill" localSheetId="5" hidden="1">#REF!</definedName>
    <definedName name="_Fill" localSheetId="8" hidden="1">#REF!</definedName>
    <definedName name="_Fill" localSheetId="18" hidden="1">#REF!</definedName>
    <definedName name="_Fill" hidden="1">#REF!</definedName>
    <definedName name="_OAP1" localSheetId="19">#REF!</definedName>
    <definedName name="_OAP1" localSheetId="5">#REF!</definedName>
    <definedName name="_OAP1">#REF!</definedName>
    <definedName name="_PRO2" localSheetId="19">#REF!</definedName>
    <definedName name="_PRO2" localSheetId="5">#REF!</definedName>
    <definedName name="_PRO2">#REF!</definedName>
    <definedName name="_PRO3" localSheetId="19">#REF!</definedName>
    <definedName name="_PRO3" localSheetId="5">#REF!</definedName>
    <definedName name="_PRO3">#REF!</definedName>
    <definedName name="_PRO4" localSheetId="19">#REF!</definedName>
    <definedName name="_PRO4" localSheetId="5">#REF!</definedName>
    <definedName name="_PRO4">#REF!</definedName>
    <definedName name="_RFP1" localSheetId="19">#REF!</definedName>
    <definedName name="_RFP1" localSheetId="5">#REF!</definedName>
    <definedName name="_RFP1">#REF!</definedName>
    <definedName name="_SE1" localSheetId="19">#REF!</definedName>
    <definedName name="_SE1" localSheetId="5">#REF!</definedName>
    <definedName name="_SE1">#REF!</definedName>
    <definedName name="_SE11" localSheetId="19">#REF!</definedName>
    <definedName name="_SE11" localSheetId="5">#REF!</definedName>
    <definedName name="_SE11">#REF!</definedName>
    <definedName name="_SE12" localSheetId="19">#REF!</definedName>
    <definedName name="_SE12" localSheetId="5">#REF!</definedName>
    <definedName name="_SE12">#REF!</definedName>
    <definedName name="_SE13" localSheetId="19">#REF!</definedName>
    <definedName name="_SE13" localSheetId="5">#REF!</definedName>
    <definedName name="_SE13">#REF!</definedName>
    <definedName name="_SE14" localSheetId="19">#REF!</definedName>
    <definedName name="_SE14" localSheetId="5">#REF!</definedName>
    <definedName name="_SE14">#REF!</definedName>
    <definedName name="_SE15" localSheetId="19">#REF!</definedName>
    <definedName name="_SE15" localSheetId="5">#REF!</definedName>
    <definedName name="_SE15">#REF!</definedName>
    <definedName name="_SE16" localSheetId="19">#REF!</definedName>
    <definedName name="_SE16" localSheetId="5">#REF!</definedName>
    <definedName name="_SE16">#REF!</definedName>
    <definedName name="_SE2" localSheetId="19">#REF!</definedName>
    <definedName name="_SE2" localSheetId="5">#REF!</definedName>
    <definedName name="_SE2">#REF!</definedName>
    <definedName name="_SE3" localSheetId="19">#REF!</definedName>
    <definedName name="_SE3" localSheetId="5">#REF!</definedName>
    <definedName name="_SE3">#REF!</definedName>
    <definedName name="_SE4" localSheetId="19">#REF!</definedName>
    <definedName name="_SE4" localSheetId="5">#REF!</definedName>
    <definedName name="_SE4">#REF!</definedName>
    <definedName name="_SE5" localSheetId="19">#REF!</definedName>
    <definedName name="_SE5" localSheetId="5">#REF!</definedName>
    <definedName name="_SE5">#REF!</definedName>
    <definedName name="_SE6" localSheetId="19">#REF!</definedName>
    <definedName name="_SE6" localSheetId="5">#REF!</definedName>
    <definedName name="_SE6">#REF!</definedName>
    <definedName name="_TST1" localSheetId="19">#REF!</definedName>
    <definedName name="_TST1" localSheetId="5">#REF!</definedName>
    <definedName name="_TST1">#REF!</definedName>
    <definedName name="_TST2" localSheetId="19">#REF!</definedName>
    <definedName name="_TST2" localSheetId="5">#REF!</definedName>
    <definedName name="_TST2">#REF!</definedName>
    <definedName name="_TST3" localSheetId="19">#REF!</definedName>
    <definedName name="_TST3" localSheetId="5">#REF!</definedName>
    <definedName name="_TST3">#REF!</definedName>
    <definedName name="A_IMPRESIÓN_IM" localSheetId="19">#REF!</definedName>
    <definedName name="A_IMPRESIÓN_IM" localSheetId="5">#REF!</definedName>
    <definedName name="A_IMPRESIÓN_IM">#REF!</definedName>
    <definedName name="ActNetoHidro" localSheetId="16">' IMP Existente 2017 2021'!$D$26:$I$26</definedName>
    <definedName name="ActNetoHidro" localSheetId="17">'[1]IMPA Indicativo'!#REF!</definedName>
    <definedName name="ActNetoHidro" localSheetId="11">'IMP Existente APROBADO'!#REF!</definedName>
    <definedName name="ActNetoHidro" localSheetId="9">'[2]IMPA Indicativo'!#REF!</definedName>
    <definedName name="ActNetoHidro" localSheetId="8">'[1]IMPA Indicativo'!#REF!</definedName>
    <definedName name="ActNetoHidro">'[3]IMPA Indicativo'!$D$26:$I$26</definedName>
    <definedName name="ACTUAL" localSheetId="19">#REF!</definedName>
    <definedName name="ACTUAL" localSheetId="5">#REF!</definedName>
    <definedName name="ACTUAL">#REF!</definedName>
    <definedName name="ANOS" localSheetId="19">#REF!</definedName>
    <definedName name="ANOS" localSheetId="5">#REF!</definedName>
    <definedName name="ANOS">#REF!</definedName>
    <definedName name="ANOSHIS" localSheetId="19">#REF!</definedName>
    <definedName name="ANOSHIS" localSheetId="5">#REF!</definedName>
    <definedName name="ANOSHIS">#REF!</definedName>
    <definedName name="ANOUNO" localSheetId="19">#REF!</definedName>
    <definedName name="ANOUNO" localSheetId="5">#REF!</definedName>
    <definedName name="ANOUNO">#REF!</definedName>
    <definedName name="_xlnm.Extract" localSheetId="19">#REF!</definedName>
    <definedName name="_xlnm.Extract" localSheetId="5">#REF!</definedName>
    <definedName name="_xlnm.Extract">#REF!</definedName>
    <definedName name="_xlnm.Print_Area" localSheetId="16">' IMP Existente 2017 2021'!$B$62:$I$122</definedName>
    <definedName name="_xlnm.Print_Area" localSheetId="6">' VNR'!$A$49:$I$67</definedName>
    <definedName name="_xlnm.Print_Area" localSheetId="17">'Activos Reconocidos APROBADOS'!$B$2:$H$182</definedName>
    <definedName name="_xlnm.Print_Area" localSheetId="1">'CX cxj Año1 '!$A$1:$K$26</definedName>
    <definedName name="_xlnm.Print_Area" localSheetId="11">'IMP Existente APROBADO'!$B$1:$I$87</definedName>
    <definedName name="_xlnm.Print_Area" localSheetId="10">'N de Instalaciones'!$B$1:$O$20</definedName>
    <definedName name="_xlnm.Print_Area" localSheetId="13">'Parámetros de eficiencia'!$A$1:$H$10</definedName>
    <definedName name="_xlnm.Print_Area" localSheetId="9">'Plan de Expansión'!$A$1:$S$163</definedName>
    <definedName name="_xlnm.Print_Area" localSheetId="0">Resumen!$B$3:$E$41</definedName>
    <definedName name="_xlnm.Print_Area" localSheetId="7">'SALIDAS Y TRANSFORMACION'!$B$2:$N$77</definedName>
    <definedName name="ASSUMPTIONS" localSheetId="19">#REF!</definedName>
    <definedName name="ASSUMPTIONS" localSheetId="5">#REF!</definedName>
    <definedName name="ASSUMPTIONS">#REF!</definedName>
    <definedName name="AUF">#REF!</definedName>
    <definedName name="BALANCE_SH" localSheetId="19">#REF!</definedName>
    <definedName name="BALANCE_SH" localSheetId="5">#REF!</definedName>
    <definedName name="BALANCE_SH">#REF!</definedName>
    <definedName name="Base_datos_IM" localSheetId="19">#REF!</definedName>
    <definedName name="Base_datos_IM" localSheetId="5">#REF!</definedName>
    <definedName name="Base_datos_IM">#REF!</definedName>
    <definedName name="_xlnm.Database" localSheetId="19">#REF!</definedName>
    <definedName name="_xlnm.Database" localSheetId="5">#REF!</definedName>
    <definedName name="_xlnm.Database">#REF!</definedName>
    <definedName name="BASIC_DATA" localSheetId="19">#REF!</definedName>
    <definedName name="BASIC_DATA" localSheetId="5">#REF!</definedName>
    <definedName name="BASIC_DATA">#REF!</definedName>
    <definedName name="BASICO" localSheetId="19">#REF!</definedName>
    <definedName name="BASICO" localSheetId="5">#REF!</definedName>
    <definedName name="BASICO">#REF!</definedName>
    <definedName name="BLANK" localSheetId="19">#REF!</definedName>
    <definedName name="BLANK" localSheetId="5">#REF!</definedName>
    <definedName name="BLANK">#REF!</definedName>
    <definedName name="Blev" localSheetId="19">#REF!</definedName>
    <definedName name="Blev" localSheetId="5">#REF!</definedName>
    <definedName name="Blev">#REF!</definedName>
    <definedName name="Bu" localSheetId="19">#REF!</definedName>
    <definedName name="Bu" localSheetId="5">#REF!</definedName>
    <definedName name="Bu">#REF!</definedName>
    <definedName name="CALCULAR" localSheetId="19">#REF!</definedName>
    <definedName name="CALCULAR" localSheetId="5">#REF!</definedName>
    <definedName name="CALCULAR">#REF!</definedName>
    <definedName name="CASH_FL" localSheetId="19">#REF!</definedName>
    <definedName name="CASH_FL" localSheetId="5">#REF!</definedName>
    <definedName name="CASH_FL">#REF!</definedName>
    <definedName name="CASH_FLOW_RPT" localSheetId="19">#REF!</definedName>
    <definedName name="CASH_FLOW_RPT" localSheetId="5">#REF!</definedName>
    <definedName name="CASH_FLOW_RPT">#REF!</definedName>
    <definedName name="CASH_RPT_BR_ROW" localSheetId="19">#REF!</definedName>
    <definedName name="CASH_RPT_BR_ROW" localSheetId="5">#REF!</definedName>
    <definedName name="CASH_RPT_BR_ROW">#REF!</definedName>
    <definedName name="CASH_RPT_HEADER" localSheetId="19">#REF!</definedName>
    <definedName name="CASH_RPT_HEADER" localSheetId="5">#REF!</definedName>
    <definedName name="CASH_RPT_HEADER">#REF!</definedName>
    <definedName name="CASHFLOW" localSheetId="19">#REF!</definedName>
    <definedName name="CASHFLOW" localSheetId="5">#REF!</definedName>
    <definedName name="CASHFLOW">#REF!</definedName>
    <definedName name="CBASE" localSheetId="19">#REF!</definedName>
    <definedName name="CBASE" localSheetId="5">#REF!</definedName>
    <definedName name="CBASE">#REF!</definedName>
    <definedName name="CCC" localSheetId="19">#REF!</definedName>
    <definedName name="CCC" localSheetId="5">#REF!</definedName>
    <definedName name="CCC">#REF!</definedName>
    <definedName name="CF_CY" localSheetId="19">#REF!</definedName>
    <definedName name="CF_CY" localSheetId="5">#REF!</definedName>
    <definedName name="CF_CY">#REF!</definedName>
    <definedName name="CFP" localSheetId="19">#REF!</definedName>
    <definedName name="CFP" localSheetId="5">#REF!</definedName>
    <definedName name="CFP">#REF!</definedName>
    <definedName name="CFPC" localSheetId="19">#REF!</definedName>
    <definedName name="CFPC" localSheetId="5">#REF!</definedName>
    <definedName name="CFPC">#REF!</definedName>
    <definedName name="CFPDATA" localSheetId="19">#REF!</definedName>
    <definedName name="CFPDATA" localSheetId="5">#REF!</definedName>
    <definedName name="CFPDATA">#REF!</definedName>
    <definedName name="CFPTITLES" localSheetId="19">#REF!</definedName>
    <definedName name="CFPTITLES" localSheetId="5">#REF!</definedName>
    <definedName name="CFPTITLES">#REF!</definedName>
    <definedName name="CFTITLE" localSheetId="19">#REF!</definedName>
    <definedName name="CFTITLE" localSheetId="5">#REF!</definedName>
    <definedName name="CFTITLE">#REF!</definedName>
    <definedName name="CFUNIT" localSheetId="19">#REF!</definedName>
    <definedName name="CFUNIT" localSheetId="5">#REF!</definedName>
    <definedName name="CFUNIT">#REF!</definedName>
    <definedName name="CHANGES" localSheetId="19">#REF!</definedName>
    <definedName name="CHANGES" localSheetId="5">#REF!</definedName>
    <definedName name="CHANGES">#REF!</definedName>
    <definedName name="CHECAMAC" localSheetId="19">#REF!</definedName>
    <definedName name="CHECAMAC" localSheetId="5">#REF!</definedName>
    <definedName name="CHECAMAC">#REF!</definedName>
    <definedName name="CHECAOPT" localSheetId="19">#REF!</definedName>
    <definedName name="CHECAOPT" localSheetId="5">#REF!</definedName>
    <definedName name="CHECAOPT">#REF!</definedName>
    <definedName name="CO_CY" localSheetId="19">#REF!</definedName>
    <definedName name="CO_CY" localSheetId="5">#REF!</definedName>
    <definedName name="CO_CY">#REF!</definedName>
    <definedName name="COLTOTAL" localSheetId="19">#REF!</definedName>
    <definedName name="COLTOTAL" localSheetId="5">#REF!</definedName>
    <definedName name="COLTOTAL">#REF!</definedName>
    <definedName name="COLWIDE" localSheetId="19">#REF!</definedName>
    <definedName name="COLWIDE" localSheetId="5">#REF!</definedName>
    <definedName name="COLWIDE">#REF!</definedName>
    <definedName name="CON_ACC_REC" localSheetId="19">#REF!</definedName>
    <definedName name="CON_ACC_REC" localSheetId="5">#REF!</definedName>
    <definedName name="CON_ACC_REC">#REF!</definedName>
    <definedName name="CON_ALL_REPORT" localSheetId="19">#REF!</definedName>
    <definedName name="CON_ALL_REPORT" localSheetId="5">#REF!</definedName>
    <definedName name="CON_ALL_REPORT">#REF!</definedName>
    <definedName name="CON_NETWORTH" localSheetId="19">#REF!</definedName>
    <definedName name="CON_NETWORTH" localSheetId="5">#REF!</definedName>
    <definedName name="CON_NETWORTH">#REF!</definedName>
    <definedName name="CON_PAS_COR" localSheetId="19">#REF!</definedName>
    <definedName name="CON_PAS_COR" localSheetId="5">#REF!</definedName>
    <definedName name="CON_PAS_COR">#REF!</definedName>
    <definedName name="CON_REPT_FOOTER" localSheetId="19">#REF!</definedName>
    <definedName name="CON_REPT_FOOTER" localSheetId="5">#REF!</definedName>
    <definedName name="CON_REPT_FOOTER">#REF!</definedName>
    <definedName name="CON_REPT_HEADER" localSheetId="19">#REF!</definedName>
    <definedName name="CON_REPT_HEADER" localSheetId="5">#REF!</definedName>
    <definedName name="CON_REPT_HEADER">#REF!</definedName>
    <definedName name="CON_REVENUE" localSheetId="19">#REF!</definedName>
    <definedName name="CON_REVENUE" localSheetId="5">#REF!</definedName>
    <definedName name="CON_REVENUE">#REF!</definedName>
    <definedName name="CON_RPT_BOR_COL" localSheetId="19">#REF!</definedName>
    <definedName name="CON_RPT_BOR_COL" localSheetId="5">#REF!</definedName>
    <definedName name="CON_RPT_BOR_COL">#REF!</definedName>
    <definedName name="CON_RPT_BOR_ROW" localSheetId="19">#REF!</definedName>
    <definedName name="CON_RPT_BOR_ROW" localSheetId="5">#REF!</definedName>
    <definedName name="CON_RPT_BOR_ROW">#REF!</definedName>
    <definedName name="CON_VOLUMES" localSheetId="19">#REF!</definedName>
    <definedName name="CON_VOLUMES" localSheetId="5">#REF!</definedName>
    <definedName name="CON_VOLUMES">#REF!</definedName>
    <definedName name="CONEX" localSheetId="19">#REF!</definedName>
    <definedName name="CONEX" localSheetId="5">#REF!</definedName>
    <definedName name="CONEX">#REF!</definedName>
    <definedName name="CONSOL_FIXED_AS" localSheetId="19">#REF!</definedName>
    <definedName name="CONSOL_FIXED_AS" localSheetId="5">#REF!</definedName>
    <definedName name="CONSOL_FIXED_AS">#REF!</definedName>
    <definedName name="CONSOL_FUENTE_I" localSheetId="19">#REF!</definedName>
    <definedName name="CONSOL_FUENTE_I" localSheetId="5">#REF!</definedName>
    <definedName name="CONSOL_FUENTE_I">#REF!</definedName>
    <definedName name="CONSOL_RPT" localSheetId="19">#REF!</definedName>
    <definedName name="CONSOL_RPT" localSheetId="5">#REF!</definedName>
    <definedName name="CONSOL_RPT">#REF!</definedName>
    <definedName name="CONSOLIDA" localSheetId="19">#REF!</definedName>
    <definedName name="CONSOLIDA" localSheetId="5">#REF!</definedName>
    <definedName name="CONSOLIDA">#REF!</definedName>
    <definedName name="CONSOLIDATION" localSheetId="19">#REF!</definedName>
    <definedName name="CONSOLIDATION" localSheetId="5">#REF!</definedName>
    <definedName name="CONSOLIDATION">#REF!</definedName>
    <definedName name="COP" localSheetId="19">#REF!</definedName>
    <definedName name="COP" localSheetId="5">#REF!</definedName>
    <definedName name="COP">#REF!</definedName>
    <definedName name="COPDATA" localSheetId="19">#REF!</definedName>
    <definedName name="COPDATA" localSheetId="5">#REF!</definedName>
    <definedName name="COPDATA">#REF!</definedName>
    <definedName name="COTITLE" localSheetId="19">#REF!</definedName>
    <definedName name="COTITLE" localSheetId="5">#REF!</definedName>
    <definedName name="COTITLE">#REF!</definedName>
    <definedName name="COUNIT" localSheetId="19">#REF!</definedName>
    <definedName name="COUNIT" localSheetId="5">#REF!</definedName>
    <definedName name="COUNIT">#REF!</definedName>
    <definedName name="_xlnm.Criteria" localSheetId="19">#REF!</definedName>
    <definedName name="_xlnm.Criteria" localSheetId="5">#REF!</definedName>
    <definedName name="_xlnm.Criteria">#REF!</definedName>
    <definedName name="Criterios_IM" localSheetId="19">#REF!</definedName>
    <definedName name="Criterios_IM" localSheetId="5">#REF!</definedName>
    <definedName name="Criterios_IM">#REF!</definedName>
    <definedName name="CSD" localSheetId="19">#REF!</definedName>
    <definedName name="CSD" localSheetId="5">#REF!</definedName>
    <definedName name="CSD">#REF!</definedName>
    <definedName name="CY_DOLAR" localSheetId="19">#REF!</definedName>
    <definedName name="CY_DOLAR" localSheetId="5">#REF!</definedName>
    <definedName name="CY_DOLAR">#REF!</definedName>
    <definedName name="CY_LOCAL" localSheetId="19">#REF!</definedName>
    <definedName name="CY_LOCAL" localSheetId="5">#REF!</definedName>
    <definedName name="CY_LOCAL">#REF!</definedName>
    <definedName name="DATOSE" localSheetId="19">#REF!</definedName>
    <definedName name="DATOSE" localSheetId="5">#REF!</definedName>
    <definedName name="DATOSE">#REF!</definedName>
    <definedName name="DBHH" localSheetId="19">#REF!</definedName>
    <definedName name="DBHH" localSheetId="5">#REF!</definedName>
    <definedName name="DBHH">#REF!</definedName>
    <definedName name="DBPC" localSheetId="19">#REF!</definedName>
    <definedName name="DBPC" localSheetId="5">#REF!</definedName>
    <definedName name="DBPC">#REF!</definedName>
    <definedName name="DBT" localSheetId="19">#REF!</definedName>
    <definedName name="DBT" localSheetId="5">#REF!</definedName>
    <definedName name="DBT">#REF!</definedName>
    <definedName name="DCOL" localSheetId="19">#REF!</definedName>
    <definedName name="DCOL" localSheetId="5">#REF!</definedName>
    <definedName name="DCOL">#REF!</definedName>
    <definedName name="DE" localSheetId="19">#REF!</definedName>
    <definedName name="DE" localSheetId="5">#REF!</definedName>
    <definedName name="DE">#REF!</definedName>
    <definedName name="DECI" localSheetId="19">#REF!</definedName>
    <definedName name="DECI" localSheetId="5">#REF!</definedName>
    <definedName name="DECI">#REF!</definedName>
    <definedName name="DENOMINATION" localSheetId="19">#REF!</definedName>
    <definedName name="DENOMINATION" localSheetId="5">#REF!</definedName>
    <definedName name="DENOMINATION">#REF!</definedName>
    <definedName name="DepAnualHidro" localSheetId="9">#REF!</definedName>
    <definedName name="DepAnualHidro">'Activos Reconocidos APROBADOS'!$D$249:$H$249</definedName>
    <definedName name="DepHidro" localSheetId="9">#REF!</definedName>
    <definedName name="DepHidro">'Activos Reconocidos APROBADOS'!$D$249:$H$249</definedName>
    <definedName name="DEPRINT" localSheetId="19">#REF!</definedName>
    <definedName name="DEPRINT" localSheetId="5">#REF!</definedName>
    <definedName name="DEPRINT">#REF!</definedName>
    <definedName name="DEUDA" localSheetId="19">#REF!</definedName>
    <definedName name="DEUDA" localSheetId="5">#REF!</definedName>
    <definedName name="DEUDA">#REF!</definedName>
    <definedName name="DEUDAL" localSheetId="19">#REF!</definedName>
    <definedName name="DEUDAL" localSheetId="5">#REF!</definedName>
    <definedName name="DEUDAL">#REF!</definedName>
    <definedName name="DV" localSheetId="19">#REF!</definedName>
    <definedName name="DV" localSheetId="5">#REF!</definedName>
    <definedName name="DV">#REF!</definedName>
    <definedName name="ENTRY" localSheetId="19">#REF!</definedName>
    <definedName name="ENTRY" localSheetId="5">#REF!</definedName>
    <definedName name="ENTRY">#REF!</definedName>
    <definedName name="ER_CY" localSheetId="19">#REF!</definedName>
    <definedName name="ER_CY" localSheetId="5">#REF!</definedName>
    <definedName name="ER_CY">#REF!</definedName>
    <definedName name="ERHACTUAL" localSheetId="19">#REF!</definedName>
    <definedName name="ERHACTUAL" localSheetId="5">#REF!</definedName>
    <definedName name="ERHACTUAL">#REF!</definedName>
    <definedName name="ERHDATA10YEARS" localSheetId="19">#REF!</definedName>
    <definedName name="ERHDATA10YEARS" localSheetId="5">#REF!</definedName>
    <definedName name="ERHDATA10YEARS">#REF!</definedName>
    <definedName name="ERHDATA5" localSheetId="19">#REF!</definedName>
    <definedName name="ERHDATA5" localSheetId="5">#REF!</definedName>
    <definedName name="ERHDATA5">#REF!</definedName>
    <definedName name="ERHTITLES" localSheetId="19">#REF!</definedName>
    <definedName name="ERHTITLES" localSheetId="5">#REF!</definedName>
    <definedName name="ERHTITLES">#REF!</definedName>
    <definedName name="ERP" localSheetId="19">#REF!</definedName>
    <definedName name="ERP" localSheetId="5">#REF!</definedName>
    <definedName name="ERP">#REF!</definedName>
    <definedName name="ERP_LAST" localSheetId="19">#REF!</definedName>
    <definedName name="ERP_LAST" localSheetId="5">#REF!</definedName>
    <definedName name="ERP_LAST">#REF!</definedName>
    <definedName name="ERP0" localSheetId="19">#REF!</definedName>
    <definedName name="ERP0" localSheetId="5">#REF!</definedName>
    <definedName name="ERP0">#REF!</definedName>
    <definedName name="ERPC" localSheetId="19">#REF!</definedName>
    <definedName name="ERPC" localSheetId="5">#REF!</definedName>
    <definedName name="ERPC">#REF!</definedName>
    <definedName name="ERPDATA" localSheetId="19">#REF!</definedName>
    <definedName name="ERPDATA" localSheetId="5">#REF!</definedName>
    <definedName name="ERPDATA">#REF!</definedName>
    <definedName name="ERPTITLES" localSheetId="19">#REF!</definedName>
    <definedName name="ERPTITLES" localSheetId="5">#REF!</definedName>
    <definedName name="ERPTITLES">#REF!</definedName>
    <definedName name="ERPUNO" localSheetId="19">#REF!</definedName>
    <definedName name="ERPUNO" localSheetId="5">#REF!</definedName>
    <definedName name="ERPUNO">#REF!</definedName>
    <definedName name="ERPWP" localSheetId="19">#REF!</definedName>
    <definedName name="ERPWP" localSheetId="5">#REF!</definedName>
    <definedName name="ERPWP">#REF!</definedName>
    <definedName name="ERTITLE" localSheetId="19">#REF!</definedName>
    <definedName name="ERTITLE" localSheetId="5">#REF!</definedName>
    <definedName name="ERTITLE">#REF!</definedName>
    <definedName name="ERUNIT" localSheetId="19">#REF!</definedName>
    <definedName name="ERUNIT" localSheetId="5">#REF!</definedName>
    <definedName name="ERUNIT">#REF!</definedName>
    <definedName name="ES_CY" localSheetId="19">#REF!</definedName>
    <definedName name="ES_CY" localSheetId="5">#REF!</definedName>
    <definedName name="ES_CY">#REF!</definedName>
    <definedName name="ESP" localSheetId="19">#REF!</definedName>
    <definedName name="ESP" localSheetId="5">#REF!</definedName>
    <definedName name="ESP">#REF!</definedName>
    <definedName name="ESP_LAST" localSheetId="19">#REF!</definedName>
    <definedName name="ESP_LAST" localSheetId="5">#REF!</definedName>
    <definedName name="ESP_LAST">#REF!</definedName>
    <definedName name="ESP0" localSheetId="19">#REF!</definedName>
    <definedName name="ESP0" localSheetId="5">#REF!</definedName>
    <definedName name="ESP0">#REF!</definedName>
    <definedName name="ESPACTUAL" localSheetId="19">#REF!</definedName>
    <definedName name="ESPACTUAL" localSheetId="5">#REF!</definedName>
    <definedName name="ESPACTUAL">#REF!</definedName>
    <definedName name="ESPANOL" localSheetId="19">#REF!</definedName>
    <definedName name="ESPANOL" localSheetId="5">#REF!</definedName>
    <definedName name="ESPANOL">#REF!</definedName>
    <definedName name="ESPC" localSheetId="19">#REF!</definedName>
    <definedName name="ESPC" localSheetId="5">#REF!</definedName>
    <definedName name="ESPC">#REF!</definedName>
    <definedName name="ESPDATA" localSheetId="19">#REF!</definedName>
    <definedName name="ESPDATA" localSheetId="5">#REF!</definedName>
    <definedName name="ESPDATA">#REF!</definedName>
    <definedName name="ESPTITLES" localSheetId="19">#REF!</definedName>
    <definedName name="ESPTITLES" localSheetId="5">#REF!</definedName>
    <definedName name="ESPTITLES">#REF!</definedName>
    <definedName name="ESPUNO" localSheetId="19">#REF!</definedName>
    <definedName name="ESPUNO" localSheetId="5">#REF!</definedName>
    <definedName name="ESPUNO">#REF!</definedName>
    <definedName name="ESTITLE" localSheetId="19">#REF!</definedName>
    <definedName name="ESTITLE" localSheetId="5">#REF!</definedName>
    <definedName name="ESTITLE">#REF!</definedName>
    <definedName name="ESUNIT" localSheetId="19">#REF!</definedName>
    <definedName name="ESUNIT" localSheetId="5">#REF!</definedName>
    <definedName name="ESUNIT">#REF!</definedName>
    <definedName name="EXIT" localSheetId="19">#REF!</definedName>
    <definedName name="EXIT" localSheetId="5">#REF!</definedName>
    <definedName name="EXIT">#REF!</definedName>
    <definedName name="Extracción_IM" localSheetId="19">#REF!</definedName>
    <definedName name="Extracción_IM" localSheetId="5">#REF!</definedName>
    <definedName name="Extracción_IM">#REF!</definedName>
    <definedName name="FACEL" localSheetId="19">#REF!</definedName>
    <definedName name="FACEL" localSheetId="5">#REF!</definedName>
    <definedName name="FACEL">#REF!</definedName>
    <definedName name="FACWA" localSheetId="19">#REF!</definedName>
    <definedName name="FACWA" localSheetId="5">#REF!</definedName>
    <definedName name="FACWA">#REF!</definedName>
    <definedName name="FILE1" localSheetId="19">#REF!</definedName>
    <definedName name="FILE1" localSheetId="5">#REF!</definedName>
    <definedName name="FILE1">#REF!</definedName>
    <definedName name="FILE2" localSheetId="19">#REF!</definedName>
    <definedName name="FILE2" localSheetId="5">#REF!</definedName>
    <definedName name="FILE2">#REF!</definedName>
    <definedName name="FILE3" localSheetId="19">#REF!</definedName>
    <definedName name="FILE3" localSheetId="5">#REF!</definedName>
    <definedName name="FILE3">#REF!</definedName>
    <definedName name="FILE4" localSheetId="19">#REF!</definedName>
    <definedName name="FILE4" localSheetId="5">#REF!</definedName>
    <definedName name="FILE4">#REF!</definedName>
    <definedName name="FILE5" localSheetId="19">#REF!</definedName>
    <definedName name="FILE5" localSheetId="5">#REF!</definedName>
    <definedName name="FILE5">#REF!</definedName>
    <definedName name="FILE6" localSheetId="19">#REF!</definedName>
    <definedName name="FILE6" localSheetId="5">#REF!</definedName>
    <definedName name="FILE6">#REF!</definedName>
    <definedName name="FILE7" localSheetId="19">#REF!</definedName>
    <definedName name="FILE7" localSheetId="5">#REF!</definedName>
    <definedName name="FILE7">#REF!</definedName>
    <definedName name="FILE8" localSheetId="19">#REF!</definedName>
    <definedName name="FILE8" localSheetId="5">#REF!</definedName>
    <definedName name="FILE8">#REF!</definedName>
    <definedName name="FILENAME" localSheetId="19">#REF!</definedName>
    <definedName name="FILENAME" localSheetId="5">#REF!</definedName>
    <definedName name="FILENAME">#REF!</definedName>
    <definedName name="FILES" localSheetId="19">#REF!</definedName>
    <definedName name="FILES" localSheetId="5">#REF!</definedName>
    <definedName name="FILES">#REF!</definedName>
    <definedName name="FILESET_UP" localSheetId="19">#REF!</definedName>
    <definedName name="FILESET_UP" localSheetId="5">#REF!</definedName>
    <definedName name="FILESET_UP">#REF!</definedName>
    <definedName name="FILTRO_DES">#REF!</definedName>
    <definedName name="FIN" localSheetId="19">#REF!</definedName>
    <definedName name="FIN" localSheetId="5">#REF!</definedName>
    <definedName name="FIN">#REF!</definedName>
    <definedName name="FORMAT" localSheetId="19">#REF!</definedName>
    <definedName name="FORMAT" localSheetId="5">#REF!</definedName>
    <definedName name="FORMAT">#REF!</definedName>
    <definedName name="FRAME" localSheetId="19">#REF!</definedName>
    <definedName name="FRAME" localSheetId="5">#REF!</definedName>
    <definedName name="FRAME">#REF!</definedName>
    <definedName name="FREEZE" localSheetId="19">#REF!</definedName>
    <definedName name="FREEZE" localSheetId="5">#REF!</definedName>
    <definedName name="FREEZE">#REF!</definedName>
    <definedName name="GINC" localSheetId="19">#REF!</definedName>
    <definedName name="GINC" localSheetId="5">#REF!</definedName>
    <definedName name="GINC">#REF!</definedName>
    <definedName name="GINCL" localSheetId="19">#REF!</definedName>
    <definedName name="GINCL" localSheetId="5">#REF!</definedName>
    <definedName name="GINCL">#REF!</definedName>
    <definedName name="GWH" localSheetId="19">#REF!</definedName>
    <definedName name="GWH" localSheetId="5">#REF!</definedName>
    <definedName name="GWH">#REF!</definedName>
    <definedName name="HISTORY" localSheetId="19">#REF!</definedName>
    <definedName name="HISTORY" localSheetId="5">#REF!</definedName>
    <definedName name="HISTORY">#REF!</definedName>
    <definedName name="HOJAT" localSheetId="19">#REF!</definedName>
    <definedName name="HOJAT" localSheetId="5">#REF!</definedName>
    <definedName name="HOJAT">#REF!</definedName>
    <definedName name="i" localSheetId="19">#REF!</definedName>
    <definedName name="i" localSheetId="5">#REF!</definedName>
    <definedName name="i">#REF!</definedName>
    <definedName name="IMP">#REF!</definedName>
    <definedName name="IMPANO0" localSheetId="19">#REF!</definedName>
    <definedName name="IMPANO0" localSheetId="5">#REF!</definedName>
    <definedName name="IMPANO0">#REF!</definedName>
    <definedName name="INCOME_ST" localSheetId="19">#REF!</definedName>
    <definedName name="INCOME_ST" localSheetId="5">#REF!</definedName>
    <definedName name="INCOME_ST">#REF!</definedName>
    <definedName name="INDSAVE" localSheetId="19">#REF!</definedName>
    <definedName name="INDSAVE" localSheetId="5">#REF!</definedName>
    <definedName name="INDSAVE">#REF!</definedName>
    <definedName name="INGLES" localSheetId="19">#REF!</definedName>
    <definedName name="INGLES" localSheetId="5">#REF!</definedName>
    <definedName name="INGLES">#REF!</definedName>
    <definedName name="INGyADM">#REF!</definedName>
    <definedName name="INICIO" localSheetId="19">#REF!</definedName>
    <definedName name="INICIO" localSheetId="5">#REF!</definedName>
    <definedName name="INICIO">#REF!</definedName>
    <definedName name="INSTRUCCONSOL" localSheetId="19">#REF!</definedName>
    <definedName name="INSTRUCCONSOL" localSheetId="5">#REF!</definedName>
    <definedName name="INSTRUCCONSOL">#REF!</definedName>
    <definedName name="ITER" localSheetId="19">#REF!</definedName>
    <definedName name="ITER" localSheetId="5">#REF!</definedName>
    <definedName name="ITER">#REF!</definedName>
    <definedName name="JKL" localSheetId="19">#REF!</definedName>
    <definedName name="JKL" localSheetId="5">#REF!</definedName>
    <definedName name="JKL">#REF!</definedName>
    <definedName name="LANGUAGE" localSheetId="19">#REF!</definedName>
    <definedName name="LANGUAGE" localSheetId="5">#REF!</definedName>
    <definedName name="LANGUAGE">#REF!</definedName>
    <definedName name="LASER" localSheetId="19">#REF!</definedName>
    <definedName name="LASER" localSheetId="5">#REF!</definedName>
    <definedName name="LASER">#REF!</definedName>
    <definedName name="LAST_YEAR" localSheetId="19">#REF!</definedName>
    <definedName name="LAST_YEAR" localSheetId="5">#REF!</definedName>
    <definedName name="LAST_YEAR">#REF!</definedName>
    <definedName name="LEARN" localSheetId="19">#REF!</definedName>
    <definedName name="LEARN" localSheetId="5">#REF!</definedName>
    <definedName name="LEARN">#REF!</definedName>
    <definedName name="LINE_" localSheetId="19">#REF!</definedName>
    <definedName name="LINE_" localSheetId="5">#REF!</definedName>
    <definedName name="LINE_">#REF!</definedName>
    <definedName name="LINES_ML" localSheetId="19">#REF!</definedName>
    <definedName name="LINES_ML" localSheetId="5">#REF!</definedName>
    <definedName name="LINES_ML">#REF!</definedName>
    <definedName name="LOGO" localSheetId="19">#REF!</definedName>
    <definedName name="LOGO" localSheetId="5">#REF!</definedName>
    <definedName name="LOGO">#REF!</definedName>
    <definedName name="MAIN" localSheetId="19">#REF!</definedName>
    <definedName name="MAIN" localSheetId="5">#REF!</definedName>
    <definedName name="MAIN">#REF!</definedName>
    <definedName name="MENSAJ" localSheetId="19">#REF!</definedName>
    <definedName name="MENSAJ" localSheetId="5">#REF!</definedName>
    <definedName name="MENSAJ">#REF!</definedName>
    <definedName name="MENSAJ1" localSheetId="19">#REF!</definedName>
    <definedName name="MENSAJ1" localSheetId="5">#REF!</definedName>
    <definedName name="MENSAJ1">#REF!</definedName>
    <definedName name="MENSAJE" localSheetId="19">#REF!</definedName>
    <definedName name="MENSAJE" localSheetId="5">#REF!</definedName>
    <definedName name="MENSAJE">#REF!</definedName>
    <definedName name="MENSAJE1" localSheetId="19">#REF!</definedName>
    <definedName name="MENSAJE1" localSheetId="5">#REF!</definedName>
    <definedName name="MENSAJE1">#REF!</definedName>
    <definedName name="MESES" localSheetId="19">#REF!</definedName>
    <definedName name="MESES" localSheetId="5">#REF!</definedName>
    <definedName name="MESES">#REF!</definedName>
    <definedName name="MESESL" localSheetId="19">#REF!</definedName>
    <definedName name="MESESL" localSheetId="5">#REF!</definedName>
    <definedName name="MESESL">#REF!</definedName>
    <definedName name="MIL" localSheetId="19">#REF!</definedName>
    <definedName name="MIL" localSheetId="5">#REF!</definedName>
    <definedName name="MIL">#REF!</definedName>
    <definedName name="MILLON" localSheetId="19">#REF!</definedName>
    <definedName name="MILLON" localSheetId="5">#REF!</definedName>
    <definedName name="MILLON">#REF!</definedName>
    <definedName name="MODINFO" localSheetId="19">#REF!</definedName>
    <definedName name="MODINFO" localSheetId="5">#REF!</definedName>
    <definedName name="MODINFO">#REF!</definedName>
    <definedName name="MODULES" localSheetId="19">#REF!</definedName>
    <definedName name="MODULES" localSheetId="5">#REF!</definedName>
    <definedName name="MODULES">#REF!</definedName>
    <definedName name="MSGCALC" localSheetId="19">#REF!</definedName>
    <definedName name="MSGCALC" localSheetId="5">#REF!</definedName>
    <definedName name="MSGCALC">#REF!</definedName>
    <definedName name="MSGDEBT" localSheetId="19">#REF!</definedName>
    <definedName name="MSGDEBT" localSheetId="5">#REF!</definedName>
    <definedName name="MSGDEBT">#REF!</definedName>
    <definedName name="MSGFILES" localSheetId="19">#REF!</definedName>
    <definedName name="MSGFILES" localSheetId="5">#REF!</definedName>
    <definedName name="MSGFILES">#REF!</definedName>
    <definedName name="MSGINVEST" localSheetId="19">#REF!</definedName>
    <definedName name="MSGINVEST" localSheetId="5">#REF!</definedName>
    <definedName name="MSGINVEST">#REF!</definedName>
    <definedName name="MSGNAMES" localSheetId="19">#REF!</definedName>
    <definedName name="MSGNAMES" localSheetId="5">#REF!</definedName>
    <definedName name="MSGNAMES">#REF!</definedName>
    <definedName name="MSGPRINTG" localSheetId="19">#REF!</definedName>
    <definedName name="MSGPRINTG" localSheetId="5">#REF!</definedName>
    <definedName name="MSGPRINTG">#REF!</definedName>
    <definedName name="MSGTRANSFER" localSheetId="19">#REF!</definedName>
    <definedName name="MSGTRANSFER" localSheetId="5">#REF!</definedName>
    <definedName name="MSGTRANSFER">#REF!</definedName>
    <definedName name="MWH" localSheetId="19">#REF!</definedName>
    <definedName name="MWH" localSheetId="5">#REF!</definedName>
    <definedName name="MWH">#REF!</definedName>
    <definedName name="NAME" localSheetId="19">#REF!</definedName>
    <definedName name="NAME" localSheetId="5">#REF!</definedName>
    <definedName name="NAME">#REF!</definedName>
    <definedName name="NAMES" localSheetId="19">#REF!</definedName>
    <definedName name="NAMES" localSheetId="5">#REF!</definedName>
    <definedName name="NAMES">#REF!</definedName>
    <definedName name="NOPRO" localSheetId="19">#REF!</definedName>
    <definedName name="NOPRO" localSheetId="5">#REF!</definedName>
    <definedName name="NOPRO">#REF!</definedName>
    <definedName name="OA_CY" localSheetId="19">#REF!</definedName>
    <definedName name="OA_CY" localSheetId="5">#REF!</definedName>
    <definedName name="OA_CY">#REF!</definedName>
    <definedName name="OAP" localSheetId="19">#REF!</definedName>
    <definedName name="OAP" localSheetId="5">#REF!</definedName>
    <definedName name="OAP">#REF!</definedName>
    <definedName name="OAP_LAST" localSheetId="19">#REF!</definedName>
    <definedName name="OAP_LAST" localSheetId="5">#REF!</definedName>
    <definedName name="OAP_LAST">#REF!</definedName>
    <definedName name="OAP0" localSheetId="19">#REF!</definedName>
    <definedName name="OAP0" localSheetId="5">#REF!</definedName>
    <definedName name="OAP0">#REF!</definedName>
    <definedName name="OAPACTUAL" localSheetId="19">#REF!</definedName>
    <definedName name="OAPACTUAL" localSheetId="5">#REF!</definedName>
    <definedName name="OAPACTUAL">#REF!</definedName>
    <definedName name="OAPC" localSheetId="19">#REF!</definedName>
    <definedName name="OAPC" localSheetId="5">#REF!</definedName>
    <definedName name="OAPC">#REF!</definedName>
    <definedName name="OAPDATA" localSheetId="19">#REF!</definedName>
    <definedName name="OAPDATA" localSheetId="5">#REF!</definedName>
    <definedName name="OAPDATA">#REF!</definedName>
    <definedName name="OAPTITLES" localSheetId="19">#REF!</definedName>
    <definedName name="OAPTITLES" localSheetId="5">#REF!</definedName>
    <definedName name="OAPTITLES">#REF!</definedName>
    <definedName name="OAPUNO" localSheetId="19">#REF!</definedName>
    <definedName name="OAPUNO" localSheetId="5">#REF!</definedName>
    <definedName name="OAPUNO">#REF!</definedName>
    <definedName name="OATITLE" localSheetId="19">#REF!</definedName>
    <definedName name="OATITLE" localSheetId="5">#REF!</definedName>
    <definedName name="OATITLE">#REF!</definedName>
    <definedName name="OAUNIT" localSheetId="19">#REF!</definedName>
    <definedName name="OAUNIT" localSheetId="5">#REF!</definedName>
    <definedName name="OAUNIT">#REF!</definedName>
    <definedName name="OPCFLAG" localSheetId="19">#REF!</definedName>
    <definedName name="OPCFLAG" localSheetId="5">#REF!</definedName>
    <definedName name="OPCFLAG">#REF!</definedName>
    <definedName name="OPCION" localSheetId="19">#REF!</definedName>
    <definedName name="OPCION" localSheetId="5">#REF!</definedName>
    <definedName name="OPCION">#REF!</definedName>
    <definedName name="OPSELC" localSheetId="19">#REF!</definedName>
    <definedName name="OPSELC" localSheetId="5">#REF!</definedName>
    <definedName name="OPSELC">#REF!</definedName>
    <definedName name="OUTPUT" localSheetId="19">#REF!</definedName>
    <definedName name="OUTPUT" localSheetId="5">#REF!</definedName>
    <definedName name="OUTPUT">#REF!</definedName>
    <definedName name="OUTPUTDE" localSheetId="19">#REF!</definedName>
    <definedName name="OUTPUTDE" localSheetId="5">#REF!</definedName>
    <definedName name="OUTPUTDE">#REF!</definedName>
    <definedName name="OUTPUTE" localSheetId="19">#REF!</definedName>
    <definedName name="OUTPUTE" localSheetId="5">#REF!</definedName>
    <definedName name="OUTPUTE">#REF!</definedName>
    <definedName name="OUTPUTE_HEADER" localSheetId="19">#REF!</definedName>
    <definedName name="OUTPUTE_HEADER" localSheetId="5">#REF!</definedName>
    <definedName name="OUTPUTE_HEADER">#REF!</definedName>
    <definedName name="OUTPUTEBODY" localSheetId="19">#REF!</definedName>
    <definedName name="OUTPUTEBODY" localSheetId="5">#REF!</definedName>
    <definedName name="OUTPUTEBODY">#REF!</definedName>
    <definedName name="OUTPUTECOL" localSheetId="19">#REF!</definedName>
    <definedName name="OUTPUTECOL" localSheetId="5">#REF!</definedName>
    <definedName name="OUTPUTECOL">#REF!</definedName>
    <definedName name="OUTPUTEHEAD" localSheetId="19">#REF!</definedName>
    <definedName name="OUTPUTEHEAD" localSheetId="5">#REF!</definedName>
    <definedName name="OUTPUTEHEAD">#REF!</definedName>
    <definedName name="OUTPUTNOS" localSheetId="19">#REF!</definedName>
    <definedName name="OUTPUTNOS" localSheetId="5">#REF!</definedName>
    <definedName name="OUTPUTNOS">#REF!</definedName>
    <definedName name="OUTPUTPR" localSheetId="19">#REF!</definedName>
    <definedName name="OUTPUTPR" localSheetId="5">#REF!</definedName>
    <definedName name="OUTPUTPR">#REF!</definedName>
    <definedName name="OUTPUTWS" localSheetId="19">#REF!</definedName>
    <definedName name="OUTPUTWS" localSheetId="5">#REF!</definedName>
    <definedName name="OUTPUTWS">#REF!</definedName>
    <definedName name="PANTALLA" localSheetId="19">#REF!</definedName>
    <definedName name="PANTALLA" localSheetId="5">#REF!</definedName>
    <definedName name="PANTALLA">#REF!</definedName>
    <definedName name="PAPEL" localSheetId="19">#REF!</definedName>
    <definedName name="PAPEL" localSheetId="5">#REF!</definedName>
    <definedName name="PAPEL">#REF!</definedName>
    <definedName name="PFLAG" localSheetId="19">#REF!</definedName>
    <definedName name="PFLAG" localSheetId="5">#REF!</definedName>
    <definedName name="PFLAG">#REF!</definedName>
    <definedName name="PGIC" localSheetId="19">#REF!</definedName>
    <definedName name="PGIC" localSheetId="5">#REF!</definedName>
    <definedName name="PGIC">#REF!</definedName>
    <definedName name="PREST" localSheetId="19">#REF!</definedName>
    <definedName name="PREST" localSheetId="5">#REF!</definedName>
    <definedName name="PREST">#REF!</definedName>
    <definedName name="PRESTAMO" localSheetId="19">#REF!</definedName>
    <definedName name="PRESTAMO" localSheetId="5">#REF!</definedName>
    <definedName name="PRESTAMO">#REF!</definedName>
    <definedName name="PRESTTOT" localSheetId="19">#REF!</definedName>
    <definedName name="PRESTTOT" localSheetId="5">#REF!</definedName>
    <definedName name="PRESTTOT">#REF!</definedName>
    <definedName name="PRINTER" localSheetId="19">#REF!</definedName>
    <definedName name="PRINTER" localSheetId="5">#REF!</definedName>
    <definedName name="PRINTER">#REF!</definedName>
    <definedName name="PRODUC2" localSheetId="19">#REF!</definedName>
    <definedName name="PRODUC2" localSheetId="5">#REF!</definedName>
    <definedName name="PRODUC2">#REF!</definedName>
    <definedName name="PRODUC3" localSheetId="19">#REF!</definedName>
    <definedName name="PRODUC3" localSheetId="5">#REF!</definedName>
    <definedName name="PRODUC3">#REF!</definedName>
    <definedName name="PRODUC4" localSheetId="19">#REF!</definedName>
    <definedName name="PRODUC4" localSheetId="5">#REF!</definedName>
    <definedName name="PRODUC4">#REF!</definedName>
    <definedName name="PTOEF" localSheetId="19">#REF!</definedName>
    <definedName name="PTOEF" localSheetId="5">#REF!</definedName>
    <definedName name="PTOEF">#REF!</definedName>
    <definedName name="PTOER" localSheetId="19">#REF!</definedName>
    <definedName name="PTOER" localSheetId="5">#REF!</definedName>
    <definedName name="PTOER">#REF!</definedName>
    <definedName name="RANGES" localSheetId="19">#REF!</definedName>
    <definedName name="RANGES" localSheetId="5">#REF!</definedName>
    <definedName name="RANGES">#REF!</definedName>
    <definedName name="RATIOS" localSheetId="19">#REF!</definedName>
    <definedName name="RATIOS" localSheetId="5">#REF!</definedName>
    <definedName name="RATIOS">#REF!</definedName>
    <definedName name="RCC" localSheetId="19">#REF!</definedName>
    <definedName name="RCC" localSheetId="5">#REF!</definedName>
    <definedName name="RCC">#REF!</definedName>
    <definedName name="RCCOBR" localSheetId="19">#REF!</definedName>
    <definedName name="RCCOBR" localSheetId="5">#REF!</definedName>
    <definedName name="RCCOBR">#REF!</definedName>
    <definedName name="rd" localSheetId="19">#REF!</definedName>
    <definedName name="rd" localSheetId="5">#REF!</definedName>
    <definedName name="rd">#REF!</definedName>
    <definedName name="rdn">[4]Hidrometeorología!$D$14</definedName>
    <definedName name="rdx">[4]Hidrometeorología!$D$14</definedName>
    <definedName name="re" localSheetId="19">#REF!</definedName>
    <definedName name="re" localSheetId="5">#REF!</definedName>
    <definedName name="re">#REF!</definedName>
    <definedName name="RENTA" localSheetId="19">#REF!</definedName>
    <definedName name="RENTA" localSheetId="5">#REF!</definedName>
    <definedName name="RENTA">#REF!</definedName>
    <definedName name="RENTAL" localSheetId="19">#REF!</definedName>
    <definedName name="RENTAL" localSheetId="5">#REF!</definedName>
    <definedName name="RENTAL">#REF!</definedName>
    <definedName name="REPO" localSheetId="19">#REF!</definedName>
    <definedName name="REPO" localSheetId="5">#REF!</definedName>
    <definedName name="REPO">#REF!</definedName>
    <definedName name="REPOCALC" localSheetId="19">#REF!</definedName>
    <definedName name="REPOCALC" localSheetId="5">#REF!</definedName>
    <definedName name="REPOCALC">#REF!</definedName>
    <definedName name="REPOPRO" localSheetId="19">#REF!</definedName>
    <definedName name="REPOPRO" localSheetId="5">#REF!</definedName>
    <definedName name="REPOPRO">#REF!</definedName>
    <definedName name="REPSUB" localSheetId="19">#REF!</definedName>
    <definedName name="REPSUB" localSheetId="5">#REF!</definedName>
    <definedName name="REPSUB">#REF!</definedName>
    <definedName name="REPSUBWYS" localSheetId="19">#REF!</definedName>
    <definedName name="REPSUBWYS" localSheetId="5">#REF!</definedName>
    <definedName name="REPSUBWYS">#REF!</definedName>
    <definedName name="RESUMEN" localSheetId="19">#REF!</definedName>
    <definedName name="RESUMEN" localSheetId="5">#REF!</definedName>
    <definedName name="RESUMEN">#REF!</definedName>
    <definedName name="rf" localSheetId="19">#REF!</definedName>
    <definedName name="rf" localSheetId="5">#REF!</definedName>
    <definedName name="rf">#REF!</definedName>
    <definedName name="RF_CY" localSheetId="19">#REF!</definedName>
    <definedName name="RF_CY" localSheetId="5">#REF!</definedName>
    <definedName name="RF_CY">#REF!</definedName>
    <definedName name="RFP" localSheetId="19">#REF!</definedName>
    <definedName name="RFP" localSheetId="5">#REF!</definedName>
    <definedName name="RFP">#REF!</definedName>
    <definedName name="RFPACTUAL" localSheetId="19">#REF!</definedName>
    <definedName name="RFPACTUAL" localSheetId="5">#REF!</definedName>
    <definedName name="RFPACTUAL">#REF!</definedName>
    <definedName name="RFPC" localSheetId="19">#REF!</definedName>
    <definedName name="RFPC" localSheetId="5">#REF!</definedName>
    <definedName name="RFPC">#REF!</definedName>
    <definedName name="RFPDATA" localSheetId="19">#REF!</definedName>
    <definedName name="RFPDATA" localSheetId="5">#REF!</definedName>
    <definedName name="RFPDATA">#REF!</definedName>
    <definedName name="RFPTITLES" localSheetId="19">#REF!</definedName>
    <definedName name="RFPTITLES" localSheetId="5">#REF!</definedName>
    <definedName name="RFPTITLES">#REF!</definedName>
    <definedName name="RFTITLE" localSheetId="19">#REF!</definedName>
    <definedName name="RFTITLE" localSheetId="5">#REF!</definedName>
    <definedName name="RFTITLE">#REF!</definedName>
    <definedName name="RFUNIT" localSheetId="19">#REF!</definedName>
    <definedName name="RFUNIT" localSheetId="5">#REF!</definedName>
    <definedName name="RFUNIT">#REF!</definedName>
    <definedName name="rm_rf" localSheetId="19">#REF!</definedName>
    <definedName name="rm_rf" localSheetId="5">#REF!</definedName>
    <definedName name="rm_rf">#REF!</definedName>
    <definedName name="rp" localSheetId="19">#REF!</definedName>
    <definedName name="rp" localSheetId="5">#REF!</definedName>
    <definedName name="rp">#REF!</definedName>
    <definedName name="RPTSFOOTER" localSheetId="19">#REF!</definedName>
    <definedName name="RPTSFOOTER" localSheetId="5">#REF!</definedName>
    <definedName name="RPTSFOOTER">#REF!</definedName>
    <definedName name="RPTSHEADER" localSheetId="19">#REF!</definedName>
    <definedName name="RPTSHEADER" localSheetId="5">#REF!</definedName>
    <definedName name="RPTSHEADER">#REF!</definedName>
    <definedName name="rrd">[5]RRT!$D$14</definedName>
    <definedName name="RRT" localSheetId="16">' IMP Existente 2017 2021'!$D$13</definedName>
    <definedName name="RRT" localSheetId="17">'[1]IMPA Indicativo'!$D$13</definedName>
    <definedName name="RRT" localSheetId="11">'IMP Existente APROBADO'!$D$11</definedName>
    <definedName name="RRT" localSheetId="19">#REF!</definedName>
    <definedName name="RRT" localSheetId="9">'[2]IMPA Indicativo'!$D$14</definedName>
    <definedName name="RRT" localSheetId="5">#REF!</definedName>
    <definedName name="RRT" localSheetId="8">'[1]IMPA Indicativo'!$D$13</definedName>
    <definedName name="RRT" localSheetId="18">'[3]IMPA Indicativo'!$D$13</definedName>
    <definedName name="RRT">#REF!</definedName>
    <definedName name="RRTg" localSheetId="19">#REF!</definedName>
    <definedName name="RRTg" localSheetId="5">#REF!</definedName>
    <definedName name="RRTg">#REF!</definedName>
    <definedName name="RRTT" localSheetId="19">#REF!</definedName>
    <definedName name="RRTT" localSheetId="5">#REF!</definedName>
    <definedName name="RRTT">#REF!</definedName>
    <definedName name="SCREEN" localSheetId="19">#REF!</definedName>
    <definedName name="SCREEN" localSheetId="5">#REF!</definedName>
    <definedName name="SCREEN">#REF!</definedName>
    <definedName name="Sd" localSheetId="19">#REF!</definedName>
    <definedName name="Sd" localSheetId="5">#REF!</definedName>
    <definedName name="Sd">#REF!</definedName>
    <definedName name="SE0" localSheetId="19">#REF!</definedName>
    <definedName name="SE0" localSheetId="5">#REF!</definedName>
    <definedName name="SE0">#REF!</definedName>
    <definedName name="SENOP" localSheetId="19">#REF!</definedName>
    <definedName name="SENOP" localSheetId="5">#REF!</definedName>
    <definedName name="SENOP">#REF!</definedName>
    <definedName name="SENPRI" localSheetId="19">#REF!</definedName>
    <definedName name="SENPRI" localSheetId="5">#REF!</definedName>
    <definedName name="SENPRI">#REF!</definedName>
    <definedName name="SENSITIVITY" localSheetId="19">#REF!</definedName>
    <definedName name="SENSITIVITY" localSheetId="5">#REF!</definedName>
    <definedName name="SENSITIVITY">#REF!</definedName>
    <definedName name="SENSTA" localSheetId="19">#REF!</definedName>
    <definedName name="SENSTA" localSheetId="5">#REF!</definedName>
    <definedName name="SENSTA">#REF!</definedName>
    <definedName name="SENT" localSheetId="19">#REF!</definedName>
    <definedName name="SENT" localSheetId="5">#REF!</definedName>
    <definedName name="SENT">#REF!</definedName>
    <definedName name="SENUNI" localSheetId="19">#REF!</definedName>
    <definedName name="SENUNI" localSheetId="5">#REF!</definedName>
    <definedName name="SENUNI">#REF!</definedName>
    <definedName name="SER" localSheetId="19">#REF!</definedName>
    <definedName name="SER" localSheetId="5">#REF!</definedName>
    <definedName name="SER">#REF!</definedName>
    <definedName name="solver_adj" localSheetId="1" hidden="1">'CX cxj Año1 '!$L$10</definedName>
    <definedName name="solver_cvg" localSheetId="1" hidden="1">0.0001</definedName>
    <definedName name="solver_drv" localSheetId="1" hidden="1">1</definedName>
    <definedName name="solver_est" localSheetId="1" hidden="1">1</definedName>
    <definedName name="solver_itr" localSheetId="1" hidden="1">100</definedName>
    <definedName name="solver_lin" localSheetId="1" hidden="1">2</definedName>
    <definedName name="solver_neg" localSheetId="1" hidden="1">2</definedName>
    <definedName name="solver_num" localSheetId="1" hidden="1">0</definedName>
    <definedName name="solver_nwt" localSheetId="1" hidden="1">1</definedName>
    <definedName name="solver_opt" localSheetId="1" hidden="1">'CX cxj Año1 '!$L$1</definedName>
    <definedName name="solver_pre" localSheetId="1" hidden="1">0.000001</definedName>
    <definedName name="solver_scl" localSheetId="1" hidden="1">2</definedName>
    <definedName name="solver_sho" localSheetId="1" hidden="1">2</definedName>
    <definedName name="solver_tim" localSheetId="1" hidden="1">100</definedName>
    <definedName name="solver_tol" localSheetId="1" hidden="1">0.05</definedName>
    <definedName name="solver_typ" localSheetId="1" hidden="1">3</definedName>
    <definedName name="solver_val" localSheetId="1" hidden="1">16135</definedName>
    <definedName name="SOURCE_APPL" localSheetId="19">#REF!</definedName>
    <definedName name="SOURCE_APPL" localSheetId="5">#REF!</definedName>
    <definedName name="SOURCE_APPL">#REF!</definedName>
    <definedName name="STAMP" localSheetId="19">#REF!</definedName>
    <definedName name="STAMP" localSheetId="5">#REF!</definedName>
    <definedName name="STAMP">#REF!</definedName>
    <definedName name="START" localSheetId="19">#REF!</definedName>
    <definedName name="START" localSheetId="5">#REF!</definedName>
    <definedName name="START">#REF!</definedName>
    <definedName name="SUMARIA" localSheetId="19">#REF!</definedName>
    <definedName name="SUMARIA" localSheetId="5">#REF!</definedName>
    <definedName name="SUMARIA">#REF!</definedName>
    <definedName name="SUPUESTOS" localSheetId="19">#REF!</definedName>
    <definedName name="SUPUESTOS" localSheetId="5">#REF!</definedName>
    <definedName name="SUPUESTOS">#REF!</definedName>
    <definedName name="t" localSheetId="19">#REF!</definedName>
    <definedName name="t" localSheetId="5">#REF!</definedName>
    <definedName name="t">#REF!</definedName>
    <definedName name="TASA" localSheetId="19">#REF!</definedName>
    <definedName name="TASA" localSheetId="5">#REF!</definedName>
    <definedName name="TASA">#REF!</definedName>
    <definedName name="TASAI" localSheetId="19">#REF!</definedName>
    <definedName name="TASAI" localSheetId="5">#REF!</definedName>
    <definedName name="TASAI">#REF!</definedName>
    <definedName name="TASATOT" localSheetId="19">#REF!</definedName>
    <definedName name="TASATOT" localSheetId="5">#REF!</definedName>
    <definedName name="TASATOT">#REF!</definedName>
    <definedName name="TC">#REF!</definedName>
    <definedName name="TIPO" localSheetId="19">#REF!</definedName>
    <definedName name="TIPO" localSheetId="5">#REF!</definedName>
    <definedName name="TIPO">#REF!</definedName>
    <definedName name="TITLE" localSheetId="19">#REF!</definedName>
    <definedName name="TITLE" localSheetId="5">#REF!</definedName>
    <definedName name="TITLE">#REF!</definedName>
    <definedName name="TITLEENG" localSheetId="19">#REF!</definedName>
    <definedName name="TITLEENG" localSheetId="5">#REF!</definedName>
    <definedName name="TITLEENG">#REF!</definedName>
    <definedName name="TITLES" localSheetId="19">#REF!</definedName>
    <definedName name="TITLES" localSheetId="5">#REF!</definedName>
    <definedName name="TITLES">#REF!</definedName>
    <definedName name="TITLESPAN" localSheetId="19">#REF!</definedName>
    <definedName name="TITLESPAN" localSheetId="5">#REF!</definedName>
    <definedName name="TITLESPAN">#REF!</definedName>
    <definedName name="_xlnm.Print_Titles" localSheetId="1">'CX cxj Año1 '!$3:$8</definedName>
    <definedName name="_xlnm.Print_Titles" localSheetId="0">Resumen!$5:$10</definedName>
    <definedName name="_xlnm.Print_Titles" localSheetId="5">'VERIFICACIÓN DE INGRESOS'!$7:$8</definedName>
    <definedName name="TRAF" localSheetId="19">#REF!</definedName>
    <definedName name="TRAF" localSheetId="5">#REF!</definedName>
    <definedName name="TRAF">#REF!</definedName>
    <definedName name="TSFR1" localSheetId="19">#REF!</definedName>
    <definedName name="TSFR1" localSheetId="5">#REF!</definedName>
    <definedName name="TSFR1">#REF!</definedName>
    <definedName name="TSFR2" localSheetId="19">#REF!</definedName>
    <definedName name="TSFR2" localSheetId="5">#REF!</definedName>
    <definedName name="TSFR2">#REF!</definedName>
    <definedName name="TSFR3" localSheetId="19">#REF!</definedName>
    <definedName name="TSFR3" localSheetId="5">#REF!</definedName>
    <definedName name="TSFR3">#REF!</definedName>
    <definedName name="UNDERLINE" localSheetId="19">#REF!</definedName>
    <definedName name="UNDERLINE" localSheetId="5">#REF!</definedName>
    <definedName name="UNDERLINE">#REF!</definedName>
    <definedName name="UNFREEZE" localSheetId="19">#REF!</definedName>
    <definedName name="UNFREEZE" localSheetId="5">#REF!</definedName>
    <definedName name="UNFREEZE">#REF!</definedName>
    <definedName name="UNITS" localSheetId="19">#REF!</definedName>
    <definedName name="UNITS" localSheetId="5">#REF!</definedName>
    <definedName name="UNITS">#REF!</definedName>
    <definedName name="UUCC">#REF!</definedName>
    <definedName name="VNR_Lineas" localSheetId="16">[6]VNR!$Q$62</definedName>
    <definedName name="VNR_Lineas" localSheetId="17">[1]VNR!$Q$59</definedName>
    <definedName name="VNR_Lineas" localSheetId="11">[1]VNR!$Q$59</definedName>
    <definedName name="VNR_Lineas" localSheetId="19">#REF!</definedName>
    <definedName name="VNR_Lineas" localSheetId="5">#REF!</definedName>
    <definedName name="VNR_Lineas" localSheetId="8">'VNR APROBADO'!$S$77</definedName>
    <definedName name="VNR_Lineas" localSheetId="18">'VNR consulta (015 17)'!$R$62</definedName>
    <definedName name="VNR_Lineas">#REF!</definedName>
    <definedName name="VNR_Lineas_Conexión" localSheetId="17">[1]VNR!$Q$69</definedName>
    <definedName name="VNR_Lineas_Conexión" localSheetId="11">[1]VNR!$Q$69</definedName>
    <definedName name="VNR_Lineas_Conexión">'VNR APROBADO'!$S$91</definedName>
    <definedName name="VNR_Subestaciones_Conexión" localSheetId="16">[6]VNR!$G$46</definedName>
    <definedName name="VNR_Subestaciones_Conexión" localSheetId="17">[1]VNR!$G$48</definedName>
    <definedName name="VNR_Subestaciones_Conexión" localSheetId="11">[1]VNR!$G$48</definedName>
    <definedName name="VNR_Subestaciones_Conexión" localSheetId="19">#REF!</definedName>
    <definedName name="VNR_Subestaciones_Conexión" localSheetId="5">#REF!</definedName>
    <definedName name="VNR_Subestaciones_Conexión" localSheetId="8">'VNR APROBADO'!$H$50</definedName>
    <definedName name="VNR_Subestaciones_Conexión" localSheetId="18">'VNR consulta (015 17)'!$G$46</definedName>
    <definedName name="VNR_Subestaciones_Conexión">#REF!</definedName>
    <definedName name="VNR_Subestaciones_Estrategicas" localSheetId="16">[6]VNR!$F$36</definedName>
    <definedName name="VNR_Subestaciones_Estrategicas" localSheetId="17">[1]VNR!$F$38</definedName>
    <definedName name="VNR_Subestaciones_Estrategicas" localSheetId="11">[1]VNR!$F$38</definedName>
    <definedName name="VNR_Subestaciones_Estrategicas" localSheetId="19">#REF!</definedName>
    <definedName name="VNR_Subestaciones_Estrategicas" localSheetId="5">#REF!</definedName>
    <definedName name="VNR_Subestaciones_Estrategicas" localSheetId="8">'VNR APROBADO'!$G$37</definedName>
    <definedName name="VNR_Subestaciones_Estrategicas" localSheetId="18">'VNR consulta (015 17)'!$F$36</definedName>
    <definedName name="VNR_Subestaciones_Estrategicas">#REF!</definedName>
    <definedName name="VNR_Subestaciones_SPT" localSheetId="16">[6]VNR!$F$30</definedName>
    <definedName name="VNR_Subestaciones_SPT" localSheetId="17">[1]VNR!$F$32</definedName>
    <definedName name="VNR_Subestaciones_SPT" localSheetId="11">[1]VNR!$F$32</definedName>
    <definedName name="VNR_Subestaciones_SPT" localSheetId="19">#REF!</definedName>
    <definedName name="VNR_Subestaciones_SPT" localSheetId="5">#REF!</definedName>
    <definedName name="VNR_Subestaciones_SPT" localSheetId="8">'VNR APROBADO'!$G$28</definedName>
    <definedName name="VNR_Subestaciones_SPT" localSheetId="18">'VNR consulta (015 17)'!$F$30</definedName>
    <definedName name="VNR_Subestaciones_SPT">#REF!</definedName>
    <definedName name="vvvv">[7]IMP!$D$14</definedName>
    <definedName name="WACCna" localSheetId="19">#REF!</definedName>
    <definedName name="WACCna" localSheetId="5">#REF!</definedName>
    <definedName name="WACCna">#REF!</definedName>
    <definedName name="WACCnd" localSheetId="19">#REF!</definedName>
    <definedName name="WACCnd" localSheetId="5">#REF!</definedName>
    <definedName name="WACCnd">#REF!</definedName>
    <definedName name="WACCr" localSheetId="19">#REF!</definedName>
    <definedName name="WACCr" localSheetId="5">#REF!</definedName>
    <definedName name="WACCr">#REF!</definedName>
    <definedName name="WACCra" localSheetId="19">#REF!</definedName>
    <definedName name="WACCra" localSheetId="5">#REF!</definedName>
    <definedName name="WACCra">#REF!</definedName>
    <definedName name="WH" localSheetId="19">#REF!</definedName>
    <definedName name="WH" localSheetId="5">#REF!</definedName>
    <definedName name="WH">#REF!</definedName>
    <definedName name="WHC" localSheetId="19">#REF!</definedName>
    <definedName name="WHC" localSheetId="5">#REF!</definedName>
    <definedName name="WHC">#REF!</definedName>
    <definedName name="WHCO" localSheetId="19">#REF!</definedName>
    <definedName name="WHCO" localSheetId="5">#REF!</definedName>
    <definedName name="WHCO">#REF!</definedName>
    <definedName name="WHCR" localSheetId="19">#REF!</definedName>
    <definedName name="WHCR" localSheetId="5">#REF!</definedName>
    <definedName name="WHCR">#REF!</definedName>
    <definedName name="WHCS" localSheetId="19">#REF!</definedName>
    <definedName name="WHCS" localSheetId="5">#REF!</definedName>
    <definedName name="WHCS">#REF!</definedName>
    <definedName name="WHG" localSheetId="19">#REF!</definedName>
    <definedName name="WHG" localSheetId="5">#REF!</definedName>
    <definedName name="WHG">#REF!</definedName>
    <definedName name="WHH" localSheetId="19">#REF!</definedName>
    <definedName name="WHH" localSheetId="5">#REF!</definedName>
    <definedName name="WHH">#REF!</definedName>
    <definedName name="WORKSHEET" localSheetId="19">#REF!</definedName>
    <definedName name="WORKSHEET" localSheetId="5">#REF!</definedName>
    <definedName name="WORKSHEET">#REF!</definedName>
    <definedName name="WP" localSheetId="19">#REF!</definedName>
    <definedName name="WP" localSheetId="5">#REF!</definedName>
    <definedName name="WP">#REF!</definedName>
    <definedName name="WPC" localSheetId="19">#REF!</definedName>
    <definedName name="WPC" localSheetId="5">#REF!</definedName>
    <definedName name="WPC">#REF!</definedName>
    <definedName name="WPG" localSheetId="19">#REF!</definedName>
    <definedName name="WPG" localSheetId="5">#REF!</definedName>
    <definedName name="WPG">#REF!</definedName>
    <definedName name="WPH" localSheetId="19">#REF!</definedName>
    <definedName name="WPH" localSheetId="5">#REF!</definedName>
    <definedName name="WPH">#REF!</definedName>
    <definedName name="WSANO0PR" localSheetId="19">#REF!</definedName>
    <definedName name="WSANO0PR" localSheetId="5">#REF!</definedName>
    <definedName name="WSANO0PR">#REF!</definedName>
    <definedName name="WSANO0S" localSheetId="19">#REF!</definedName>
    <definedName name="WSANO0S" localSheetId="5">#REF!</definedName>
    <definedName name="WSANO0S">#REF!</definedName>
    <definedName name="WSGRID" localSheetId="19">#REF!</definedName>
    <definedName name="WSGRID" localSheetId="5">#REF!</definedName>
    <definedName name="WSGRID">#REF!</definedName>
    <definedName name="WSGRID0" localSheetId="19">#REF!</definedName>
    <definedName name="WSGRID0" localSheetId="5">#REF!</definedName>
    <definedName name="WSGRID0">#REF!</definedName>
    <definedName name="WSGRID10" localSheetId="19">#REF!</definedName>
    <definedName name="WSGRID10" localSheetId="5">#REF!</definedName>
    <definedName name="WSGRID10">#REF!</definedName>
    <definedName name="WSPRINT" localSheetId="19">#REF!</definedName>
    <definedName name="WSPRINT" localSheetId="5">#REF!</definedName>
    <definedName name="WSPRIN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3" l="1"/>
  <c r="E66" i="1"/>
  <c r="D20" i="1"/>
  <c r="D19" i="1"/>
  <c r="D12" i="1"/>
  <c r="D15" i="1"/>
  <c r="F42" i="20" l="1"/>
  <c r="F45" i="20"/>
  <c r="D13" i="3"/>
  <c r="E11" i="20"/>
  <c r="E7" i="20"/>
  <c r="E18" i="20"/>
  <c r="E21" i="20"/>
  <c r="D23" i="13"/>
  <c r="E45" i="20" l="1"/>
  <c r="E42" i="20"/>
  <c r="D45" i="20"/>
  <c r="H20" i="3"/>
  <c r="H60" i="1"/>
  <c r="H59" i="1"/>
  <c r="H58" i="1"/>
  <c r="H57" i="1"/>
  <c r="H63" i="1"/>
  <c r="H64" i="1"/>
  <c r="H65" i="1"/>
  <c r="H62" i="1"/>
  <c r="K60" i="1"/>
  <c r="K59" i="1"/>
  <c r="G60" i="1"/>
  <c r="K57" i="1"/>
  <c r="J57" i="1"/>
  <c r="G59" i="1"/>
  <c r="G58" i="1"/>
  <c r="G57" i="1"/>
  <c r="F37" i="20"/>
  <c r="E37" i="20"/>
  <c r="F36" i="20"/>
  <c r="F33" i="20"/>
  <c r="F32" i="20"/>
  <c r="F30" i="20"/>
  <c r="F31" i="20"/>
  <c r="E32" i="20"/>
  <c r="E31" i="20"/>
  <c r="E30" i="20"/>
  <c r="E26" i="20"/>
  <c r="E25" i="20"/>
  <c r="R91" i="78" l="1"/>
  <c r="P91" i="78"/>
  <c r="T85" i="78"/>
  <c r="T84" i="78"/>
  <c r="T83" i="78"/>
  <c r="H48" i="78"/>
  <c r="H47" i="78"/>
  <c r="H46" i="78"/>
  <c r="H44" i="78"/>
  <c r="H41" i="78"/>
  <c r="H42" i="78"/>
  <c r="H43" i="78"/>
  <c r="H45" i="78"/>
  <c r="H49" i="78"/>
  <c r="D40" i="78"/>
  <c r="C16" i="52"/>
  <c r="C15" i="52"/>
  <c r="C14" i="52"/>
  <c r="C13" i="52"/>
  <c r="H40" i="78" l="1"/>
  <c r="E27" i="20"/>
  <c r="E28" i="20" s="1"/>
  <c r="D68" i="20"/>
  <c r="D56" i="20"/>
  <c r="D55" i="20"/>
  <c r="D54" i="20"/>
  <c r="K11" i="3"/>
  <c r="O16" i="3"/>
  <c r="D21" i="13"/>
  <c r="D21" i="62" s="1"/>
  <c r="D21" i="63" s="1"/>
  <c r="D21" i="61" s="1"/>
  <c r="O19" i="3"/>
  <c r="I34" i="78"/>
  <c r="B17" i="3"/>
  <c r="N66" i="87" l="1"/>
  <c r="O66" i="87"/>
  <c r="P66" i="87"/>
  <c r="Q66" i="87"/>
  <c r="M66" i="87"/>
  <c r="D8" i="52"/>
  <c r="E8" i="52"/>
  <c r="F8" i="52"/>
  <c r="G8" i="52"/>
  <c r="H8" i="52"/>
  <c r="C8" i="52"/>
  <c r="O20" i="3"/>
  <c r="B24" i="81" l="1"/>
  <c r="B23" i="81"/>
  <c r="E77" i="20"/>
  <c r="A94" i="86"/>
  <c r="A95" i="86" s="1"/>
  <c r="A96" i="86" s="1"/>
  <c r="A97" i="86" s="1"/>
  <c r="A98" i="86" s="1"/>
  <c r="A102" i="86" s="1"/>
  <c r="A103" i="86" s="1"/>
  <c r="A107" i="86" s="1"/>
  <c r="A108" i="86" s="1"/>
  <c r="A109" i="86" s="1"/>
  <c r="A110" i="86" s="1"/>
  <c r="A111" i="86" s="1"/>
  <c r="A112" i="86" s="1"/>
  <c r="A113" i="86" s="1"/>
  <c r="A114" i="86" s="1"/>
  <c r="F89" i="86"/>
  <c r="C89" i="86"/>
  <c r="D88" i="86"/>
  <c r="E88" i="86" s="1"/>
  <c r="D87" i="86"/>
  <c r="E87" i="86" s="1"/>
  <c r="D86" i="86"/>
  <c r="E86" i="86" s="1"/>
  <c r="D85" i="86"/>
  <c r="E85" i="86" s="1"/>
  <c r="D84" i="86"/>
  <c r="E84" i="86" s="1"/>
  <c r="D83" i="86"/>
  <c r="E83" i="86" s="1"/>
  <c r="D82" i="86"/>
  <c r="E82" i="86" s="1"/>
  <c r="D81" i="86"/>
  <c r="E81" i="86" s="1"/>
  <c r="D80" i="86"/>
  <c r="E80" i="86" s="1"/>
  <c r="D79" i="86"/>
  <c r="E79" i="86" s="1"/>
  <c r="D78" i="86"/>
  <c r="E78" i="86" s="1"/>
  <c r="D77" i="86"/>
  <c r="E77" i="86" s="1"/>
  <c r="D76" i="86"/>
  <c r="E76" i="86" s="1"/>
  <c r="D75" i="86"/>
  <c r="E75" i="86" s="1"/>
  <c r="D74" i="86"/>
  <c r="E74" i="86" s="1"/>
  <c r="D73" i="86"/>
  <c r="E73" i="86" s="1"/>
  <c r="D72" i="86"/>
  <c r="E72" i="86" s="1"/>
  <c r="D71" i="86"/>
  <c r="E71" i="86" s="1"/>
  <c r="D70" i="86"/>
  <c r="E70" i="86" s="1"/>
  <c r="D69" i="86"/>
  <c r="E69" i="86" s="1"/>
  <c r="D68" i="86"/>
  <c r="E68" i="86" s="1"/>
  <c r="D67" i="86"/>
  <c r="E67" i="86" s="1"/>
  <c r="D66" i="86"/>
  <c r="E66" i="86" s="1"/>
  <c r="D65" i="86"/>
  <c r="E65" i="86" s="1"/>
  <c r="D64" i="86"/>
  <c r="E64" i="86" s="1"/>
  <c r="D63" i="86"/>
  <c r="E63" i="86" s="1"/>
  <c r="D62" i="86"/>
  <c r="E62" i="86" s="1"/>
  <c r="D61" i="86"/>
  <c r="E61" i="86" s="1"/>
  <c r="D60" i="86"/>
  <c r="E60" i="86" s="1"/>
  <c r="D59" i="86"/>
  <c r="E59" i="86" s="1"/>
  <c r="D58" i="86"/>
  <c r="E58" i="86" s="1"/>
  <c r="D57" i="86"/>
  <c r="E57" i="86" s="1"/>
  <c r="D56" i="86"/>
  <c r="E56" i="86" s="1"/>
  <c r="D55" i="86"/>
  <c r="E55" i="86" s="1"/>
  <c r="D54" i="86"/>
  <c r="E54" i="86" s="1"/>
  <c r="D53" i="86"/>
  <c r="E53" i="86" s="1"/>
  <c r="D52" i="86"/>
  <c r="E52" i="86" s="1"/>
  <c r="D51" i="86"/>
  <c r="E51" i="86" s="1"/>
  <c r="D50" i="86"/>
  <c r="E50" i="86" s="1"/>
  <c r="D49" i="86"/>
  <c r="E49" i="86" s="1"/>
  <c r="D48" i="86"/>
  <c r="E48" i="86" s="1"/>
  <c r="D47" i="86"/>
  <c r="E47" i="86" s="1"/>
  <c r="D46" i="86"/>
  <c r="E46" i="86" s="1"/>
  <c r="D45" i="86"/>
  <c r="E45" i="86" s="1"/>
  <c r="D44" i="86"/>
  <c r="E44" i="86" s="1"/>
  <c r="D43" i="86"/>
  <c r="E43" i="86" s="1"/>
  <c r="D42" i="86"/>
  <c r="E42" i="86" s="1"/>
  <c r="D41" i="86"/>
  <c r="E41" i="86" s="1"/>
  <c r="D40" i="86"/>
  <c r="E40" i="86" s="1"/>
  <c r="D39" i="86"/>
  <c r="E39" i="86" s="1"/>
  <c r="D38" i="86"/>
  <c r="E38" i="86" s="1"/>
  <c r="D37" i="86"/>
  <c r="E37" i="86" s="1"/>
  <c r="D36" i="86"/>
  <c r="E36" i="86" s="1"/>
  <c r="D35" i="86"/>
  <c r="E35" i="86" s="1"/>
  <c r="D34" i="86"/>
  <c r="E34" i="86" s="1"/>
  <c r="D33" i="86"/>
  <c r="E33" i="86" s="1"/>
  <c r="D32" i="86"/>
  <c r="E32" i="86" s="1"/>
  <c r="D31" i="86"/>
  <c r="E31" i="86" s="1"/>
  <c r="D30" i="86"/>
  <c r="E30" i="86" s="1"/>
  <c r="D29" i="86"/>
  <c r="E29" i="86" s="1"/>
  <c r="D28" i="86"/>
  <c r="E28" i="86" s="1"/>
  <c r="D27" i="86"/>
  <c r="E27" i="86" s="1"/>
  <c r="D26" i="86"/>
  <c r="E26" i="86" s="1"/>
  <c r="D25" i="86"/>
  <c r="E25" i="86" s="1"/>
  <c r="D24" i="86"/>
  <c r="E24" i="86" s="1"/>
  <c r="D23" i="86"/>
  <c r="E23" i="86" s="1"/>
  <c r="D22" i="86"/>
  <c r="E22" i="86" s="1"/>
  <c r="D21" i="86"/>
  <c r="E21" i="86" s="1"/>
  <c r="D20" i="86"/>
  <c r="E20" i="86" s="1"/>
  <c r="D19" i="86"/>
  <c r="E19" i="86" s="1"/>
  <c r="D18" i="86"/>
  <c r="E18" i="86" s="1"/>
  <c r="D17" i="86"/>
  <c r="E17" i="86" s="1"/>
  <c r="D16" i="86"/>
  <c r="E16" i="86" s="1"/>
  <c r="D15" i="86"/>
  <c r="E15" i="86" s="1"/>
  <c r="D14" i="86"/>
  <c r="E14" i="86" s="1"/>
  <c r="D13" i="86"/>
  <c r="E13" i="86" s="1"/>
  <c r="D12" i="86"/>
  <c r="E12" i="86" s="1"/>
  <c r="D11" i="86"/>
  <c r="E11" i="86" s="1"/>
  <c r="D10" i="86"/>
  <c r="E10" i="86" s="1"/>
  <c r="D9" i="86"/>
  <c r="E9" i="86" s="1"/>
  <c r="D8" i="86"/>
  <c r="E8" i="86" s="1"/>
  <c r="D7" i="86"/>
  <c r="E7" i="86" s="1"/>
  <c r="D6" i="86"/>
  <c r="E6" i="86" s="1"/>
  <c r="D5" i="86"/>
  <c r="E5" i="86" s="1"/>
  <c r="D4" i="86"/>
  <c r="A4" i="86"/>
  <c r="A5" i="86" s="1"/>
  <c r="A6" i="86" s="1"/>
  <c r="A7" i="86" s="1"/>
  <c r="A8" i="86" s="1"/>
  <c r="A9" i="86" s="1"/>
  <c r="A10" i="86" s="1"/>
  <c r="A11" i="86" s="1"/>
  <c r="A12" i="86" s="1"/>
  <c r="A13" i="86" s="1"/>
  <c r="A14" i="86" s="1"/>
  <c r="A15" i="86" s="1"/>
  <c r="A16" i="86" s="1"/>
  <c r="A17" i="86" s="1"/>
  <c r="A18" i="86" s="1"/>
  <c r="A19" i="86" s="1"/>
  <c r="A20" i="86" s="1"/>
  <c r="A21" i="86" s="1"/>
  <c r="A22" i="86" s="1"/>
  <c r="A23" i="86" s="1"/>
  <c r="A24" i="86" s="1"/>
  <c r="A25" i="86" s="1"/>
  <c r="A26" i="86" s="1"/>
  <c r="A27" i="86" s="1"/>
  <c r="A28" i="86" s="1"/>
  <c r="A29" i="86" s="1"/>
  <c r="A30" i="86" s="1"/>
  <c r="A31" i="86" s="1"/>
  <c r="A32" i="86" s="1"/>
  <c r="A33" i="86" s="1"/>
  <c r="A34" i="86" s="1"/>
  <c r="A35" i="86" s="1"/>
  <c r="A36" i="86" s="1"/>
  <c r="A37" i="86" s="1"/>
  <c r="A38" i="86" s="1"/>
  <c r="A39" i="86" s="1"/>
  <c r="A40" i="86" s="1"/>
  <c r="A41" i="86" s="1"/>
  <c r="A42" i="86" s="1"/>
  <c r="A43" i="86" s="1"/>
  <c r="A44" i="86" s="1"/>
  <c r="A45" i="86" s="1"/>
  <c r="A46" i="86" s="1"/>
  <c r="A47" i="86" s="1"/>
  <c r="A48" i="86" s="1"/>
  <c r="A49" i="86" s="1"/>
  <c r="A50" i="86" s="1"/>
  <c r="A51" i="86" s="1"/>
  <c r="A52" i="86" s="1"/>
  <c r="A53" i="86" s="1"/>
  <c r="A54" i="86" s="1"/>
  <c r="A55" i="86" s="1"/>
  <c r="A56" i="86" s="1"/>
  <c r="A57" i="86" s="1"/>
  <c r="A58" i="86" s="1"/>
  <c r="A59" i="86" s="1"/>
  <c r="A60" i="86" s="1"/>
  <c r="A61" i="86" s="1"/>
  <c r="A62" i="86" s="1"/>
  <c r="A63" i="86" s="1"/>
  <c r="A64" i="86" s="1"/>
  <c r="A65" i="86" s="1"/>
  <c r="A66" i="86" s="1"/>
  <c r="A67" i="86" s="1"/>
  <c r="A68" i="86" s="1"/>
  <c r="A69" i="86" s="1"/>
  <c r="A70" i="86" s="1"/>
  <c r="A71" i="86" s="1"/>
  <c r="A72" i="86" s="1"/>
  <c r="A73" i="86" s="1"/>
  <c r="A74" i="86" s="1"/>
  <c r="A75" i="86" s="1"/>
  <c r="A76" i="86" s="1"/>
  <c r="A77" i="86" s="1"/>
  <c r="A78" i="86" s="1"/>
  <c r="A79" i="86" s="1"/>
  <c r="A80" i="86" s="1"/>
  <c r="A81" i="86" s="1"/>
  <c r="A82" i="86" s="1"/>
  <c r="A83" i="86" s="1"/>
  <c r="A84" i="86" s="1"/>
  <c r="A85" i="86" s="1"/>
  <c r="A86" i="86" s="1"/>
  <c r="A87" i="86" s="1"/>
  <c r="D3" i="86"/>
  <c r="E3" i="86" s="1"/>
  <c r="E4" i="86" l="1"/>
  <c r="E90" i="86" s="1"/>
  <c r="E91" i="86" l="1"/>
  <c r="E97" i="86" l="1"/>
  <c r="E93" i="86"/>
  <c r="E96" i="86"/>
  <c r="E95" i="86"/>
  <c r="E98" i="86"/>
  <c r="E94" i="86"/>
  <c r="E100" i="86" l="1"/>
  <c r="E103" i="86" l="1"/>
  <c r="E102" i="86"/>
  <c r="E105" i="86" s="1"/>
  <c r="E110" i="86" l="1"/>
  <c r="E113" i="86"/>
  <c r="E109" i="86"/>
  <c r="E112" i="86"/>
  <c r="E108" i="86"/>
  <c r="E111" i="86"/>
  <c r="E107" i="86"/>
  <c r="E115" i="86" s="1"/>
  <c r="F4" i="86" s="1"/>
  <c r="E6" i="68" l="1"/>
  <c r="F6" i="68"/>
  <c r="G6" i="68"/>
  <c r="H6" i="68"/>
  <c r="D6" i="68"/>
  <c r="D10" i="68" s="1"/>
  <c r="F10" i="13" l="1"/>
  <c r="G10" i="13"/>
  <c r="H10" i="13"/>
  <c r="I10" i="13"/>
  <c r="I60" i="1" l="1"/>
  <c r="L31" i="1"/>
  <c r="C31" i="1"/>
  <c r="E31" i="1" s="1"/>
  <c r="J59" i="1" l="1"/>
  <c r="J60" i="1"/>
  <c r="C20" i="1"/>
  <c r="G27" i="78" l="1"/>
  <c r="G26" i="78"/>
  <c r="G12" i="78"/>
  <c r="G13" i="78"/>
  <c r="G14" i="78"/>
  <c r="G15" i="78"/>
  <c r="G16" i="78"/>
  <c r="G17" i="78"/>
  <c r="G18" i="78"/>
  <c r="G19" i="78"/>
  <c r="G20" i="78"/>
  <c r="G21" i="78"/>
  <c r="G22" i="78"/>
  <c r="G23" i="78"/>
  <c r="G24" i="78"/>
  <c r="G25" i="78"/>
  <c r="G11" i="78"/>
  <c r="E16" i="20"/>
  <c r="F16" i="20" s="1"/>
  <c r="E24" i="20" l="1"/>
  <c r="E56" i="20"/>
  <c r="F56" i="20" s="1"/>
  <c r="F27" i="20"/>
  <c r="I36" i="78"/>
  <c r="I35" i="78"/>
  <c r="D6" i="52"/>
  <c r="E6" i="52"/>
  <c r="F6" i="52"/>
  <c r="G6" i="52"/>
  <c r="H6" i="52"/>
  <c r="D7" i="52"/>
  <c r="E7" i="52"/>
  <c r="F7" i="52"/>
  <c r="G7" i="52"/>
  <c r="H7" i="52"/>
  <c r="D5" i="52"/>
  <c r="E5" i="52"/>
  <c r="F5" i="52"/>
  <c r="G5" i="52"/>
  <c r="H5" i="52"/>
  <c r="S91" i="78" l="1"/>
  <c r="H26" i="78"/>
  <c r="H27" i="78"/>
  <c r="E28" i="78"/>
  <c r="E31" i="78" s="1"/>
  <c r="D28" i="78"/>
  <c r="F28" i="78"/>
  <c r="F31" i="78" s="1"/>
  <c r="G28" i="78"/>
  <c r="Q45" i="78"/>
  <c r="P57" i="78"/>
  <c r="P45" i="78"/>
  <c r="G174" i="85"/>
  <c r="F174" i="85"/>
  <c r="E174" i="85"/>
  <c r="N171" i="85"/>
  <c r="M171" i="85"/>
  <c r="L171" i="85"/>
  <c r="K171" i="85"/>
  <c r="AN165" i="85"/>
  <c r="AM165" i="85"/>
  <c r="AL165" i="85"/>
  <c r="AK165" i="85"/>
  <c r="AJ165" i="85"/>
  <c r="AI165" i="85"/>
  <c r="AH165" i="85"/>
  <c r="AG165" i="85"/>
  <c r="AF165" i="85"/>
  <c r="AE165" i="85"/>
  <c r="AN164" i="85"/>
  <c r="AM164" i="85"/>
  <c r="AL164" i="85"/>
  <c r="AK164" i="85"/>
  <c r="AJ164" i="85"/>
  <c r="AI164" i="85"/>
  <c r="AH164" i="85"/>
  <c r="AG164" i="85"/>
  <c r="AF164" i="85"/>
  <c r="AE164" i="85"/>
  <c r="O164" i="85"/>
  <c r="O162" i="85" s="1"/>
  <c r="AN163" i="85"/>
  <c r="AM163" i="85"/>
  <c r="AL163" i="85"/>
  <c r="AK163" i="85"/>
  <c r="AJ163" i="85"/>
  <c r="AI163" i="85"/>
  <c r="AH163" i="85"/>
  <c r="AG163" i="85"/>
  <c r="AF163" i="85"/>
  <c r="AE163" i="85"/>
  <c r="O163" i="85"/>
  <c r="AN162" i="85"/>
  <c r="AM162" i="85"/>
  <c r="AL162" i="85"/>
  <c r="AK162" i="85"/>
  <c r="AJ162" i="85"/>
  <c r="AI162" i="85"/>
  <c r="AH162" i="85"/>
  <c r="AG162" i="85"/>
  <c r="AF162" i="85"/>
  <c r="AE162" i="85"/>
  <c r="N162" i="85"/>
  <c r="M162" i="85"/>
  <c r="L162" i="85"/>
  <c r="K162" i="85"/>
  <c r="J162" i="85"/>
  <c r="I162" i="85"/>
  <c r="H162" i="85"/>
  <c r="A162" i="85"/>
  <c r="AN161" i="85"/>
  <c r="AM161" i="85"/>
  <c r="AL161" i="85"/>
  <c r="AK161" i="85"/>
  <c r="AJ161" i="85"/>
  <c r="AI161" i="85"/>
  <c r="AH161" i="85"/>
  <c r="AG161" i="85"/>
  <c r="AF161" i="85"/>
  <c r="AE161" i="85"/>
  <c r="AQ160" i="85"/>
  <c r="AM160" i="85"/>
  <c r="AW160" i="85" s="1"/>
  <c r="AD160" i="85"/>
  <c r="AN160" i="85" s="1"/>
  <c r="AX160" i="85" s="1"/>
  <c r="AC160" i="85"/>
  <c r="AB160" i="85"/>
  <c r="AL160" i="85" s="1"/>
  <c r="AV160" i="85" s="1"/>
  <c r="W160" i="85"/>
  <c r="AG160" i="85" s="1"/>
  <c r="V160" i="85"/>
  <c r="AF160" i="85" s="1"/>
  <c r="AP160" i="85" s="1"/>
  <c r="U160" i="85"/>
  <c r="AE160" i="85" s="1"/>
  <c r="AO160" i="85" s="1"/>
  <c r="O160" i="85"/>
  <c r="AR159" i="85"/>
  <c r="AL159" i="85"/>
  <c r="AV159" i="85" s="1"/>
  <c r="AK159" i="85"/>
  <c r="AU159" i="85" s="1"/>
  <c r="AJ159" i="85"/>
  <c r="AT159" i="85" s="1"/>
  <c r="AE159" i="85"/>
  <c r="AO159" i="85" s="1"/>
  <c r="AD159" i="85"/>
  <c r="AN159" i="85" s="1"/>
  <c r="AX159" i="85" s="1"/>
  <c r="AC159" i="85"/>
  <c r="AM159" i="85" s="1"/>
  <c r="AW159" i="85" s="1"/>
  <c r="AB159" i="85"/>
  <c r="AA159" i="85"/>
  <c r="Z159" i="85"/>
  <c r="Y159" i="85"/>
  <c r="AI159" i="85" s="1"/>
  <c r="AS159" i="85" s="1"/>
  <c r="X159" i="85"/>
  <c r="AH159" i="85" s="1"/>
  <c r="W159" i="85"/>
  <c r="AG159" i="85" s="1"/>
  <c r="AQ159" i="85" s="1"/>
  <c r="V159" i="85"/>
  <c r="AF159" i="85" s="1"/>
  <c r="AP159" i="85" s="1"/>
  <c r="U159" i="85"/>
  <c r="O159" i="85"/>
  <c r="AH158" i="85"/>
  <c r="AR158" i="85" s="1"/>
  <c r="AE158" i="85"/>
  <c r="AO158" i="85" s="1"/>
  <c r="AD158" i="85"/>
  <c r="AN158" i="85" s="1"/>
  <c r="AX158" i="85" s="1"/>
  <c r="AC158" i="85"/>
  <c r="AM158" i="85" s="1"/>
  <c r="AW158" i="85" s="1"/>
  <c r="AB158" i="85"/>
  <c r="AL158" i="85" s="1"/>
  <c r="AV158" i="85" s="1"/>
  <c r="W158" i="85"/>
  <c r="AG158" i="85" s="1"/>
  <c r="AQ158" i="85" s="1"/>
  <c r="V158" i="85"/>
  <c r="AF158" i="85" s="1"/>
  <c r="AP158" i="85" s="1"/>
  <c r="U158" i="85"/>
  <c r="O158" i="85"/>
  <c r="AJ157" i="85"/>
  <c r="AT157" i="85" s="1"/>
  <c r="AH157" i="85"/>
  <c r="AR157" i="85" s="1"/>
  <c r="AD157" i="85"/>
  <c r="AN157" i="85" s="1"/>
  <c r="AX157" i="85" s="1"/>
  <c r="AC157" i="85"/>
  <c r="AM157" i="85" s="1"/>
  <c r="AW157" i="85" s="1"/>
  <c r="AB157" i="85"/>
  <c r="AL157" i="85" s="1"/>
  <c r="AV157" i="85" s="1"/>
  <c r="AA157" i="85"/>
  <c r="AK157" i="85" s="1"/>
  <c r="AU157" i="85" s="1"/>
  <c r="Z157" i="85"/>
  <c r="Y157" i="85"/>
  <c r="AI157" i="85" s="1"/>
  <c r="AS157" i="85" s="1"/>
  <c r="X157" i="85"/>
  <c r="W157" i="85"/>
  <c r="V157" i="85"/>
  <c r="AF157" i="85" s="1"/>
  <c r="AP157" i="85" s="1"/>
  <c r="U157" i="85"/>
  <c r="AE157" i="85" s="1"/>
  <c r="AO157" i="85" s="1"/>
  <c r="O157" i="85"/>
  <c r="AH156" i="85"/>
  <c r="AR156" i="85" s="1"/>
  <c r="AD156" i="85"/>
  <c r="AN156" i="85" s="1"/>
  <c r="AX156" i="85" s="1"/>
  <c r="AC156" i="85"/>
  <c r="AM156" i="85" s="1"/>
  <c r="AW156" i="85" s="1"/>
  <c r="AB156" i="85"/>
  <c r="AL156" i="85" s="1"/>
  <c r="AV156" i="85" s="1"/>
  <c r="AA156" i="85"/>
  <c r="AK156" i="85" s="1"/>
  <c r="AU156" i="85" s="1"/>
  <c r="Z156" i="85"/>
  <c r="AJ156" i="85" s="1"/>
  <c r="AT156" i="85" s="1"/>
  <c r="Y156" i="85"/>
  <c r="AI156" i="85" s="1"/>
  <c r="AS156" i="85" s="1"/>
  <c r="X156" i="85"/>
  <c r="W156" i="85"/>
  <c r="V156" i="85"/>
  <c r="AF156" i="85" s="1"/>
  <c r="AP156" i="85" s="1"/>
  <c r="U156" i="85"/>
  <c r="AE156" i="85" s="1"/>
  <c r="AO156" i="85" s="1"/>
  <c r="O156" i="85"/>
  <c r="AD155" i="85"/>
  <c r="AN155" i="85" s="1"/>
  <c r="AX155" i="85" s="1"/>
  <c r="AC155" i="85"/>
  <c r="AM155" i="85" s="1"/>
  <c r="AW155" i="85" s="1"/>
  <c r="AB155" i="85"/>
  <c r="AL155" i="85" s="1"/>
  <c r="AV155" i="85" s="1"/>
  <c r="AA155" i="85"/>
  <c r="AK155" i="85" s="1"/>
  <c r="AU155" i="85" s="1"/>
  <c r="Z155" i="85"/>
  <c r="AJ155" i="85" s="1"/>
  <c r="AT155" i="85" s="1"/>
  <c r="Y155" i="85"/>
  <c r="AI155" i="85" s="1"/>
  <c r="AS155" i="85" s="1"/>
  <c r="W155" i="85"/>
  <c r="AG155" i="85" s="1"/>
  <c r="AQ155" i="85" s="1"/>
  <c r="V155" i="85"/>
  <c r="AF155" i="85" s="1"/>
  <c r="AP155" i="85" s="1"/>
  <c r="U155" i="85"/>
  <c r="AE155" i="85" s="1"/>
  <c r="AO155" i="85" s="1"/>
  <c r="O155" i="85"/>
  <c r="AF154" i="85"/>
  <c r="AP154" i="85" s="1"/>
  <c r="AE154" i="85"/>
  <c r="AO154" i="85" s="1"/>
  <c r="AD154" i="85"/>
  <c r="AN154" i="85" s="1"/>
  <c r="AX154" i="85" s="1"/>
  <c r="AC154" i="85"/>
  <c r="AM154" i="85" s="1"/>
  <c r="AW154" i="85" s="1"/>
  <c r="AB154" i="85"/>
  <c r="AL154" i="85" s="1"/>
  <c r="AV154" i="85" s="1"/>
  <c r="AA154" i="85"/>
  <c r="AK154" i="85" s="1"/>
  <c r="AU154" i="85" s="1"/>
  <c r="W154" i="85"/>
  <c r="AG154" i="85" s="1"/>
  <c r="AQ154" i="85" s="1"/>
  <c r="V154" i="85"/>
  <c r="U154" i="85"/>
  <c r="O154" i="85"/>
  <c r="AP153" i="85"/>
  <c r="AN153" i="85"/>
  <c r="AX153" i="85" s="1"/>
  <c r="AM153" i="85"/>
  <c r="AW153" i="85" s="1"/>
  <c r="AD153" i="85"/>
  <c r="AC153" i="85"/>
  <c r="AB153" i="85"/>
  <c r="AL153" i="85" s="1"/>
  <c r="AV153" i="85" s="1"/>
  <c r="AA153" i="85"/>
  <c r="AK153" i="85" s="1"/>
  <c r="Z153" i="85"/>
  <c r="AJ153" i="85" s="1"/>
  <c r="AT153" i="85" s="1"/>
  <c r="W153" i="85"/>
  <c r="AG153" i="85" s="1"/>
  <c r="AQ153" i="85" s="1"/>
  <c r="V153" i="85"/>
  <c r="AF153" i="85" s="1"/>
  <c r="U153" i="85"/>
  <c r="AE153" i="85" s="1"/>
  <c r="AO153" i="85" s="1"/>
  <c r="O153" i="85"/>
  <c r="AL152" i="85"/>
  <c r="AG152" i="85"/>
  <c r="AQ152" i="85" s="1"/>
  <c r="AF152" i="85"/>
  <c r="AP152" i="85" s="1"/>
  <c r="AD152" i="85"/>
  <c r="AN152" i="85" s="1"/>
  <c r="AC152" i="85"/>
  <c r="AM152" i="85" s="1"/>
  <c r="AB152" i="85"/>
  <c r="AA152" i="85"/>
  <c r="AK152" i="85" s="1"/>
  <c r="AU152" i="85" s="1"/>
  <c r="Z152" i="85"/>
  <c r="AJ152" i="85" s="1"/>
  <c r="W152" i="85"/>
  <c r="V152" i="85"/>
  <c r="U152" i="85"/>
  <c r="AE152" i="85" s="1"/>
  <c r="AO152" i="85" s="1"/>
  <c r="O152" i="85"/>
  <c r="AN151" i="85"/>
  <c r="AM151" i="85"/>
  <c r="AL151" i="85"/>
  <c r="AK151" i="85"/>
  <c r="AJ151" i="85"/>
  <c r="AI151" i="85"/>
  <c r="AH151" i="85"/>
  <c r="AG151" i="85"/>
  <c r="AF151" i="85"/>
  <c r="AE151" i="85"/>
  <c r="N151" i="85"/>
  <c r="M151" i="85"/>
  <c r="L151" i="85"/>
  <c r="K151" i="85"/>
  <c r="J151" i="85"/>
  <c r="I151" i="85"/>
  <c r="H151" i="85"/>
  <c r="A151" i="85"/>
  <c r="AN150" i="85"/>
  <c r="AM150" i="85"/>
  <c r="AL150" i="85"/>
  <c r="AK150" i="85"/>
  <c r="AJ150" i="85"/>
  <c r="AI150" i="85"/>
  <c r="AH150" i="85"/>
  <c r="AG150" i="85"/>
  <c r="AF150" i="85"/>
  <c r="AE150" i="85"/>
  <c r="AN149" i="85"/>
  <c r="AM149" i="85"/>
  <c r="AL149" i="85"/>
  <c r="AK149" i="85"/>
  <c r="AJ149" i="85"/>
  <c r="AI149" i="85"/>
  <c r="AH149" i="85"/>
  <c r="AG149" i="85"/>
  <c r="AF149" i="85"/>
  <c r="AE149" i="85"/>
  <c r="AN148" i="85"/>
  <c r="AM148" i="85"/>
  <c r="AL148" i="85"/>
  <c r="AK148" i="85"/>
  <c r="AJ148" i="85"/>
  <c r="AI148" i="85"/>
  <c r="AH148" i="85"/>
  <c r="AG148" i="85"/>
  <c r="AF148" i="85"/>
  <c r="AE148" i="85"/>
  <c r="AN147" i="85"/>
  <c r="AM147" i="85"/>
  <c r="AL147" i="85"/>
  <c r="AK147" i="85"/>
  <c r="AJ147" i="85"/>
  <c r="AI147" i="85"/>
  <c r="AH147" i="85"/>
  <c r="AG147" i="85"/>
  <c r="AF147" i="85"/>
  <c r="AE147" i="85"/>
  <c r="AN146" i="85"/>
  <c r="AM146" i="85"/>
  <c r="AL146" i="85"/>
  <c r="AK146" i="85"/>
  <c r="AJ146" i="85"/>
  <c r="AI146" i="85"/>
  <c r="AH146" i="85"/>
  <c r="AG146" i="85"/>
  <c r="AF146" i="85"/>
  <c r="AE146" i="85"/>
  <c r="AN145" i="85"/>
  <c r="AM145" i="85"/>
  <c r="AL145" i="85"/>
  <c r="AK145" i="85"/>
  <c r="AJ145" i="85"/>
  <c r="AF145" i="85"/>
  <c r="AD145" i="85"/>
  <c r="AC145" i="85"/>
  <c r="AB145" i="85"/>
  <c r="AA145" i="85"/>
  <c r="Z145" i="85"/>
  <c r="Y145" i="85"/>
  <c r="AI145" i="85" s="1"/>
  <c r="X145" i="85"/>
  <c r="AH145" i="85" s="1"/>
  <c r="W145" i="85"/>
  <c r="AG145" i="85" s="1"/>
  <c r="V145" i="85"/>
  <c r="U145" i="85"/>
  <c r="AE145" i="85" s="1"/>
  <c r="O145" i="85"/>
  <c r="AN144" i="85"/>
  <c r="AM144" i="85"/>
  <c r="AL144" i="85"/>
  <c r="AJ144" i="85"/>
  <c r="AI144" i="85"/>
  <c r="AF144" i="85"/>
  <c r="AD144" i="85"/>
  <c r="AC144" i="85"/>
  <c r="AB144" i="85"/>
  <c r="AA144" i="85"/>
  <c r="Z144" i="85"/>
  <c r="Y144" i="85"/>
  <c r="X144" i="85"/>
  <c r="AH144" i="85" s="1"/>
  <c r="W144" i="85"/>
  <c r="AG144" i="85" s="1"/>
  <c r="V144" i="85"/>
  <c r="U144" i="85"/>
  <c r="AE144" i="85" s="1"/>
  <c r="O144" i="85"/>
  <c r="AM143" i="85"/>
  <c r="AK143" i="85"/>
  <c r="AJ143" i="85"/>
  <c r="AH143" i="85"/>
  <c r="AG143" i="85"/>
  <c r="AD143" i="85"/>
  <c r="AN143" i="85" s="1"/>
  <c r="AC143" i="85"/>
  <c r="AB143" i="85"/>
  <c r="AL143" i="85" s="1"/>
  <c r="AA143" i="85"/>
  <c r="Z143" i="85"/>
  <c r="Y143" i="85"/>
  <c r="X143" i="85"/>
  <c r="W143" i="85"/>
  <c r="V143" i="85"/>
  <c r="AF143" i="85" s="1"/>
  <c r="U143" i="85"/>
  <c r="AE143" i="85" s="1"/>
  <c r="O143" i="85"/>
  <c r="AK142" i="85"/>
  <c r="AH142" i="85"/>
  <c r="AE142" i="85"/>
  <c r="AD142" i="85"/>
  <c r="AN142" i="85" s="1"/>
  <c r="AC142" i="85"/>
  <c r="AM142" i="85" s="1"/>
  <c r="AB142" i="85"/>
  <c r="AL142" i="85" s="1"/>
  <c r="AA142" i="85"/>
  <c r="Z142" i="85"/>
  <c r="AJ142" i="85" s="1"/>
  <c r="Y142" i="85"/>
  <c r="AI142" i="85" s="1"/>
  <c r="X142" i="85"/>
  <c r="W142" i="85"/>
  <c r="V142" i="85"/>
  <c r="AF142" i="85" s="1"/>
  <c r="U142" i="85"/>
  <c r="O142" i="85"/>
  <c r="AI141" i="85"/>
  <c r="AE141" i="85"/>
  <c r="AD141" i="85"/>
  <c r="AN141" i="85" s="1"/>
  <c r="AC141" i="85"/>
  <c r="AM141" i="85" s="1"/>
  <c r="AB141" i="85"/>
  <c r="AL141" i="85" s="1"/>
  <c r="AA141" i="85"/>
  <c r="AK141" i="85" s="1"/>
  <c r="Z141" i="85"/>
  <c r="AJ141" i="85" s="1"/>
  <c r="Y141" i="85"/>
  <c r="X141" i="85"/>
  <c r="AH141" i="85" s="1"/>
  <c r="W141" i="85"/>
  <c r="V141" i="85"/>
  <c r="AF141" i="85" s="1"/>
  <c r="U141" i="85"/>
  <c r="O141" i="85"/>
  <c r="AF140" i="85"/>
  <c r="AE140" i="85"/>
  <c r="AD140" i="85"/>
  <c r="AN140" i="85" s="1"/>
  <c r="AC140" i="85"/>
  <c r="AM140" i="85" s="1"/>
  <c r="AB140" i="85"/>
  <c r="AL140" i="85" s="1"/>
  <c r="AA140" i="85"/>
  <c r="AK140" i="85" s="1"/>
  <c r="Z140" i="85"/>
  <c r="AJ140" i="85" s="1"/>
  <c r="Y140" i="85"/>
  <c r="AI140" i="85" s="1"/>
  <c r="X140" i="85"/>
  <c r="AH140" i="85" s="1"/>
  <c r="W140" i="85"/>
  <c r="V140" i="85"/>
  <c r="U140" i="85"/>
  <c r="O140" i="85"/>
  <c r="AD139" i="85"/>
  <c r="AN139" i="85" s="1"/>
  <c r="AC139" i="85"/>
  <c r="AM139" i="85" s="1"/>
  <c r="AB139" i="85"/>
  <c r="AL139" i="85" s="1"/>
  <c r="AA139" i="85"/>
  <c r="AK139" i="85" s="1"/>
  <c r="Z139" i="85"/>
  <c r="AJ139" i="85" s="1"/>
  <c r="Y139" i="85"/>
  <c r="AI139" i="85" s="1"/>
  <c r="X139" i="85"/>
  <c r="AH139" i="85" s="1"/>
  <c r="W139" i="85"/>
  <c r="V139" i="85"/>
  <c r="AF139" i="85" s="1"/>
  <c r="U139" i="85"/>
  <c r="AE139" i="85" s="1"/>
  <c r="O139" i="85"/>
  <c r="AD138" i="85"/>
  <c r="AN138" i="85" s="1"/>
  <c r="AC138" i="85"/>
  <c r="AM138" i="85" s="1"/>
  <c r="AB138" i="85"/>
  <c r="AL138" i="85" s="1"/>
  <c r="AA138" i="85"/>
  <c r="AK138" i="85" s="1"/>
  <c r="Z138" i="85"/>
  <c r="AJ138" i="85" s="1"/>
  <c r="Y138" i="85"/>
  <c r="AI138" i="85" s="1"/>
  <c r="X138" i="85"/>
  <c r="AH138" i="85" s="1"/>
  <c r="W138" i="85"/>
  <c r="V138" i="85"/>
  <c r="AF138" i="85" s="1"/>
  <c r="U138" i="85"/>
  <c r="AE138" i="85" s="1"/>
  <c r="O138" i="85"/>
  <c r="AD137" i="85"/>
  <c r="AN137" i="85" s="1"/>
  <c r="AC137" i="85"/>
  <c r="AM137" i="85" s="1"/>
  <c r="AB137" i="85"/>
  <c r="AL137" i="85" s="1"/>
  <c r="AA137" i="85"/>
  <c r="AK137" i="85" s="1"/>
  <c r="Z137" i="85"/>
  <c r="AJ137" i="85" s="1"/>
  <c r="Y137" i="85"/>
  <c r="AI137" i="85" s="1"/>
  <c r="X137" i="85"/>
  <c r="AH137" i="85" s="1"/>
  <c r="W137" i="85"/>
  <c r="V137" i="85"/>
  <c r="AF137" i="85" s="1"/>
  <c r="U137" i="85"/>
  <c r="AE137" i="85" s="1"/>
  <c r="O137" i="85"/>
  <c r="AN136" i="85"/>
  <c r="AM136" i="85"/>
  <c r="AL136" i="85"/>
  <c r="AK136" i="85"/>
  <c r="AJ136" i="85"/>
  <c r="AI136" i="85"/>
  <c r="AH136" i="85"/>
  <c r="AG136" i="85"/>
  <c r="AF136" i="85"/>
  <c r="AE136" i="85"/>
  <c r="N136" i="85"/>
  <c r="M136" i="85"/>
  <c r="L136" i="85"/>
  <c r="K136" i="85"/>
  <c r="J136" i="85"/>
  <c r="I136" i="85"/>
  <c r="H136" i="85"/>
  <c r="A136" i="85"/>
  <c r="AN135" i="85"/>
  <c r="AM135" i="85"/>
  <c r="AL135" i="85"/>
  <c r="AK135" i="85"/>
  <c r="AJ135" i="85"/>
  <c r="AI135" i="85"/>
  <c r="AH135" i="85"/>
  <c r="AG135" i="85"/>
  <c r="AF135" i="85"/>
  <c r="AE135" i="85"/>
  <c r="O135" i="85"/>
  <c r="AN134" i="85"/>
  <c r="AM134" i="85"/>
  <c r="AL134" i="85"/>
  <c r="AK134" i="85"/>
  <c r="AJ134" i="85"/>
  <c r="AI134" i="85"/>
  <c r="AH134" i="85"/>
  <c r="AG134" i="85"/>
  <c r="AF134" i="85"/>
  <c r="AE134" i="85"/>
  <c r="O134" i="85"/>
  <c r="AD133" i="85"/>
  <c r="AN133" i="85" s="1"/>
  <c r="AX133" i="85" s="1"/>
  <c r="AC133" i="85"/>
  <c r="AM133" i="85" s="1"/>
  <c r="AW133" i="85" s="1"/>
  <c r="AB133" i="85"/>
  <c r="AL133" i="85" s="1"/>
  <c r="AV133" i="85" s="1"/>
  <c r="AA133" i="85"/>
  <c r="AK133" i="85" s="1"/>
  <c r="AU133" i="85" s="1"/>
  <c r="Z133" i="85"/>
  <c r="AJ133" i="85" s="1"/>
  <c r="AT133" i="85" s="1"/>
  <c r="Y133" i="85"/>
  <c r="AI133" i="85" s="1"/>
  <c r="AS133" i="85" s="1"/>
  <c r="X133" i="85"/>
  <c r="AH133" i="85" s="1"/>
  <c r="AR133" i="85" s="1"/>
  <c r="W133" i="85"/>
  <c r="AG133" i="85" s="1"/>
  <c r="AQ133" i="85" s="1"/>
  <c r="V133" i="85"/>
  <c r="AF133" i="85" s="1"/>
  <c r="AP133" i="85" s="1"/>
  <c r="U133" i="85"/>
  <c r="AE133" i="85" s="1"/>
  <c r="AO133" i="85" s="1"/>
  <c r="O133" i="85"/>
  <c r="AM132" i="85"/>
  <c r="AW132" i="85" s="1"/>
  <c r="AE132" i="85"/>
  <c r="AO132" i="85" s="1"/>
  <c r="AD132" i="85"/>
  <c r="AN132" i="85" s="1"/>
  <c r="AX132" i="85" s="1"/>
  <c r="AC132" i="85"/>
  <c r="AB132" i="85"/>
  <c r="AL132" i="85" s="1"/>
  <c r="AV132" i="85" s="1"/>
  <c r="AA132" i="85"/>
  <c r="Z132" i="85"/>
  <c r="AJ132" i="85" s="1"/>
  <c r="AT132" i="85" s="1"/>
  <c r="Y132" i="85"/>
  <c r="AI132" i="85" s="1"/>
  <c r="AS132" i="85" s="1"/>
  <c r="X132" i="85"/>
  <c r="AH132" i="85" s="1"/>
  <c r="AR132" i="85" s="1"/>
  <c r="W132" i="85"/>
  <c r="AG132" i="85" s="1"/>
  <c r="AQ132" i="85" s="1"/>
  <c r="V132" i="85"/>
  <c r="AF132" i="85" s="1"/>
  <c r="AP132" i="85" s="1"/>
  <c r="U132" i="85"/>
  <c r="O132" i="85"/>
  <c r="AW131" i="85"/>
  <c r="AI131" i="85"/>
  <c r="AS131" i="85" s="1"/>
  <c r="AH131" i="85"/>
  <c r="AR131" i="85" s="1"/>
  <c r="AD131" i="85"/>
  <c r="AN131" i="85" s="1"/>
  <c r="AX131" i="85" s="1"/>
  <c r="AC131" i="85"/>
  <c r="AM131" i="85" s="1"/>
  <c r="AB131" i="85"/>
  <c r="AL131" i="85" s="1"/>
  <c r="AV131" i="85" s="1"/>
  <c r="AA131" i="85"/>
  <c r="AK131" i="85" s="1"/>
  <c r="AU131" i="85" s="1"/>
  <c r="Z131" i="85"/>
  <c r="Y131" i="85"/>
  <c r="X131" i="85"/>
  <c r="W131" i="85"/>
  <c r="AG131" i="85" s="1"/>
  <c r="AQ131" i="85" s="1"/>
  <c r="V131" i="85"/>
  <c r="AF131" i="85" s="1"/>
  <c r="AP131" i="85" s="1"/>
  <c r="U131" i="85"/>
  <c r="AE131" i="85" s="1"/>
  <c r="AO131" i="85" s="1"/>
  <c r="O131" i="85"/>
  <c r="AN130" i="85"/>
  <c r="AM130" i="85"/>
  <c r="AL130" i="85"/>
  <c r="AK130" i="85"/>
  <c r="AJ130" i="85"/>
  <c r="AI130" i="85"/>
  <c r="AH130" i="85"/>
  <c r="AG130" i="85"/>
  <c r="AF130" i="85"/>
  <c r="AE130" i="85"/>
  <c r="N130" i="85"/>
  <c r="M130" i="85"/>
  <c r="L130" i="85"/>
  <c r="K130" i="85"/>
  <c r="J130" i="85"/>
  <c r="I130" i="85"/>
  <c r="H130" i="85"/>
  <c r="A130" i="85"/>
  <c r="AN129" i="85"/>
  <c r="AM129" i="85"/>
  <c r="AL129" i="85"/>
  <c r="AK129" i="85"/>
  <c r="AJ129" i="85"/>
  <c r="AI129" i="85"/>
  <c r="AH129" i="85"/>
  <c r="AG129" i="85"/>
  <c r="AF129" i="85"/>
  <c r="AE129" i="85"/>
  <c r="O129" i="85"/>
  <c r="AO128" i="85"/>
  <c r="AN128" i="85"/>
  <c r="AX128" i="85" s="1"/>
  <c r="AE128" i="85"/>
  <c r="AD128" i="85"/>
  <c r="AC128" i="85"/>
  <c r="AM128" i="85" s="1"/>
  <c r="AW128" i="85" s="1"/>
  <c r="AB128" i="85"/>
  <c r="AL128" i="85" s="1"/>
  <c r="AV128" i="85" s="1"/>
  <c r="AA128" i="85"/>
  <c r="AK128" i="85" s="1"/>
  <c r="AU128" i="85" s="1"/>
  <c r="W128" i="85"/>
  <c r="AG128" i="85" s="1"/>
  <c r="AQ128" i="85" s="1"/>
  <c r="V128" i="85"/>
  <c r="AF128" i="85" s="1"/>
  <c r="AP128" i="85" s="1"/>
  <c r="U128" i="85"/>
  <c r="O128" i="85"/>
  <c r="AL127" i="85"/>
  <c r="AV127" i="85" s="1"/>
  <c r="AD127" i="85"/>
  <c r="AN127" i="85" s="1"/>
  <c r="AX127" i="85" s="1"/>
  <c r="AC127" i="85"/>
  <c r="AM127" i="85" s="1"/>
  <c r="AW127" i="85" s="1"/>
  <c r="AB127" i="85"/>
  <c r="AA127" i="85"/>
  <c r="AK127" i="85" s="1"/>
  <c r="AU127" i="85" s="1"/>
  <c r="Z127" i="85"/>
  <c r="AJ127" i="85" s="1"/>
  <c r="AT127" i="85" s="1"/>
  <c r="W127" i="85"/>
  <c r="AG127" i="85" s="1"/>
  <c r="AQ127" i="85" s="1"/>
  <c r="V127" i="85"/>
  <c r="AF127" i="85" s="1"/>
  <c r="AP127" i="85" s="1"/>
  <c r="U127" i="85"/>
  <c r="AE127" i="85" s="1"/>
  <c r="AO127" i="85" s="1"/>
  <c r="O127" i="85"/>
  <c r="AN126" i="85"/>
  <c r="AX126" i="85" s="1"/>
  <c r="AK126" i="85"/>
  <c r="AU126" i="85" s="1"/>
  <c r="AJ126" i="85"/>
  <c r="AT126" i="85" s="1"/>
  <c r="AI126" i="85"/>
  <c r="AS126" i="85" s="1"/>
  <c r="AD126" i="85"/>
  <c r="AC126" i="85"/>
  <c r="AM126" i="85" s="1"/>
  <c r="AW126" i="85" s="1"/>
  <c r="AB126" i="85"/>
  <c r="AL126" i="85" s="1"/>
  <c r="AV126" i="85" s="1"/>
  <c r="AA126" i="85"/>
  <c r="W126" i="85"/>
  <c r="AG126" i="85" s="1"/>
  <c r="AQ126" i="85" s="1"/>
  <c r="V126" i="85"/>
  <c r="AF126" i="85" s="1"/>
  <c r="AP126" i="85" s="1"/>
  <c r="U126" i="85"/>
  <c r="AE126" i="85" s="1"/>
  <c r="AO126" i="85" s="1"/>
  <c r="O126" i="85"/>
  <c r="AU125" i="85"/>
  <c r="AP125" i="85"/>
  <c r="AO125" i="85"/>
  <c r="AN125" i="85"/>
  <c r="AX125" i="85" s="1"/>
  <c r="AM125" i="85"/>
  <c r="AW125" i="85" s="1"/>
  <c r="AJ125" i="85"/>
  <c r="AT125" i="85" s="1"/>
  <c r="AI125" i="85"/>
  <c r="AS125" i="85" s="1"/>
  <c r="AH125" i="85"/>
  <c r="AR125" i="85" s="1"/>
  <c r="AD125" i="85"/>
  <c r="AC125" i="85"/>
  <c r="AB125" i="85"/>
  <c r="AL125" i="85" s="1"/>
  <c r="AV125" i="85" s="1"/>
  <c r="AA125" i="85"/>
  <c r="AK125" i="85" s="1"/>
  <c r="W125" i="85"/>
  <c r="AG125" i="85" s="1"/>
  <c r="AQ125" i="85" s="1"/>
  <c r="V125" i="85"/>
  <c r="AF125" i="85" s="1"/>
  <c r="U125" i="85"/>
  <c r="AE125" i="85" s="1"/>
  <c r="O125" i="85"/>
  <c r="AW124" i="85"/>
  <c r="AV124" i="85"/>
  <c r="AR124" i="85"/>
  <c r="AQ124" i="85"/>
  <c r="AP124" i="85"/>
  <c r="AN124" i="85"/>
  <c r="AX124" i="85" s="1"/>
  <c r="AK124" i="85"/>
  <c r="AU124" i="85" s="1"/>
  <c r="AJ124" i="85"/>
  <c r="AT124" i="85" s="1"/>
  <c r="AI124" i="85"/>
  <c r="AS124" i="85" s="1"/>
  <c r="AD124" i="85"/>
  <c r="AC124" i="85"/>
  <c r="AM124" i="85" s="1"/>
  <c r="AB124" i="85"/>
  <c r="AL124" i="85" s="1"/>
  <c r="AA124" i="85"/>
  <c r="Z124" i="85"/>
  <c r="Y124" i="85"/>
  <c r="X124" i="85"/>
  <c r="AH124" i="85" s="1"/>
  <c r="W124" i="85"/>
  <c r="AG124" i="85" s="1"/>
  <c r="V124" i="85"/>
  <c r="AF124" i="85" s="1"/>
  <c r="U124" i="85"/>
  <c r="AE124" i="85" s="1"/>
  <c r="AO124" i="85" s="1"/>
  <c r="O124" i="85"/>
  <c r="AV123" i="85"/>
  <c r="AU123" i="85"/>
  <c r="AS123" i="85"/>
  <c r="AR123" i="85"/>
  <c r="AM123" i="85"/>
  <c r="AW123" i="85" s="1"/>
  <c r="AE123" i="85"/>
  <c r="AO123" i="85" s="1"/>
  <c r="AD123" i="85"/>
  <c r="AN123" i="85" s="1"/>
  <c r="AX123" i="85" s="1"/>
  <c r="AC123" i="85"/>
  <c r="AB123" i="85"/>
  <c r="AL123" i="85" s="1"/>
  <c r="AA123" i="85"/>
  <c r="AK123" i="85" s="1"/>
  <c r="Z123" i="85"/>
  <c r="Y123" i="85"/>
  <c r="AI123" i="85" s="1"/>
  <c r="X123" i="85"/>
  <c r="AH123" i="85" s="1"/>
  <c r="W123" i="85"/>
  <c r="AG123" i="85" s="1"/>
  <c r="AQ123" i="85" s="1"/>
  <c r="V123" i="85"/>
  <c r="AF123" i="85" s="1"/>
  <c r="AP123" i="85" s="1"/>
  <c r="U123" i="85"/>
  <c r="O123" i="85"/>
  <c r="AQ122" i="85"/>
  <c r="AL122" i="85"/>
  <c r="AV122" i="85" s="1"/>
  <c r="AF122" i="85"/>
  <c r="AP122" i="85" s="1"/>
  <c r="AE122" i="85"/>
  <c r="AO122" i="85" s="1"/>
  <c r="AD122" i="85"/>
  <c r="AN122" i="85" s="1"/>
  <c r="AX122" i="85" s="1"/>
  <c r="AC122" i="85"/>
  <c r="AM122" i="85" s="1"/>
  <c r="AW122" i="85" s="1"/>
  <c r="AB122" i="85"/>
  <c r="AA122" i="85"/>
  <c r="AK122" i="85" s="1"/>
  <c r="AU122" i="85" s="1"/>
  <c r="Z122" i="85"/>
  <c r="Y122" i="85"/>
  <c r="AI122" i="85" s="1"/>
  <c r="AS122" i="85" s="1"/>
  <c r="X122" i="85"/>
  <c r="AH122" i="85" s="1"/>
  <c r="AR122" i="85" s="1"/>
  <c r="W122" i="85"/>
  <c r="AG122" i="85" s="1"/>
  <c r="V122" i="85"/>
  <c r="U122" i="85"/>
  <c r="O122" i="85"/>
  <c r="AO121" i="85"/>
  <c r="AG121" i="85"/>
  <c r="AQ121" i="85" s="1"/>
  <c r="AD121" i="85"/>
  <c r="AN121" i="85" s="1"/>
  <c r="AX121" i="85" s="1"/>
  <c r="AC121" i="85"/>
  <c r="AM121" i="85" s="1"/>
  <c r="AW121" i="85" s="1"/>
  <c r="AB121" i="85"/>
  <c r="AL121" i="85" s="1"/>
  <c r="AV121" i="85" s="1"/>
  <c r="AA121" i="85"/>
  <c r="AK121" i="85" s="1"/>
  <c r="AU121" i="85" s="1"/>
  <c r="Z121" i="85"/>
  <c r="AJ121" i="85" s="1"/>
  <c r="AT121" i="85" s="1"/>
  <c r="Y121" i="85"/>
  <c r="X121" i="85"/>
  <c r="AH121" i="85" s="1"/>
  <c r="AR121" i="85" s="1"/>
  <c r="W121" i="85"/>
  <c r="V121" i="85"/>
  <c r="AF121" i="85" s="1"/>
  <c r="AP121" i="85" s="1"/>
  <c r="U121" i="85"/>
  <c r="AE121" i="85" s="1"/>
  <c r="O121" i="85"/>
  <c r="AN120" i="85"/>
  <c r="AX120" i="85" s="1"/>
  <c r="AM120" i="85"/>
  <c r="AW120" i="85" s="1"/>
  <c r="AH120" i="85"/>
  <c r="AR120" i="85" s="1"/>
  <c r="AG120" i="85"/>
  <c r="AQ120" i="85" s="1"/>
  <c r="AF120" i="85"/>
  <c r="AP120" i="85" s="1"/>
  <c r="AE120" i="85"/>
  <c r="AO120" i="85" s="1"/>
  <c r="AD120" i="85"/>
  <c r="AC120" i="85"/>
  <c r="AB120" i="85"/>
  <c r="AL120" i="85" s="1"/>
  <c r="AV120" i="85" s="1"/>
  <c r="AA120" i="85"/>
  <c r="AK120" i="85" s="1"/>
  <c r="AU120" i="85" s="1"/>
  <c r="Z120" i="85"/>
  <c r="AJ120" i="85" s="1"/>
  <c r="AT120" i="85" s="1"/>
  <c r="Y120" i="85"/>
  <c r="AI120" i="85" s="1"/>
  <c r="AS120" i="85" s="1"/>
  <c r="X120" i="85"/>
  <c r="W120" i="85"/>
  <c r="V120" i="85"/>
  <c r="U120" i="85"/>
  <c r="O120" i="85"/>
  <c r="AW119" i="85"/>
  <c r="AT119" i="85"/>
  <c r="AQ119" i="85"/>
  <c r="AP119" i="85"/>
  <c r="AM119" i="85"/>
  <c r="AJ119" i="85"/>
  <c r="AI119" i="85"/>
  <c r="AS119" i="85" s="1"/>
  <c r="AD119" i="85"/>
  <c r="AN119" i="85" s="1"/>
  <c r="AX119" i="85" s="1"/>
  <c r="AC119" i="85"/>
  <c r="AB119" i="85"/>
  <c r="AL119" i="85" s="1"/>
  <c r="AV119" i="85" s="1"/>
  <c r="AA119" i="85"/>
  <c r="AK119" i="85" s="1"/>
  <c r="AU119" i="85" s="1"/>
  <c r="Z119" i="85"/>
  <c r="Y119" i="85"/>
  <c r="X119" i="85"/>
  <c r="AH119" i="85" s="1"/>
  <c r="AR119" i="85" s="1"/>
  <c r="W119" i="85"/>
  <c r="AG119" i="85" s="1"/>
  <c r="V119" i="85"/>
  <c r="AF119" i="85" s="1"/>
  <c r="U119" i="85"/>
  <c r="AE119" i="85" s="1"/>
  <c r="AO119" i="85" s="1"/>
  <c r="O119" i="85"/>
  <c r="AP118" i="85"/>
  <c r="AO118" i="85"/>
  <c r="AM118" i="85"/>
  <c r="AW118" i="85" s="1"/>
  <c r="AH118" i="85"/>
  <c r="AR118" i="85" s="1"/>
  <c r="AG118" i="85"/>
  <c r="AQ118" i="85" s="1"/>
  <c r="AD118" i="85"/>
  <c r="AN118" i="85" s="1"/>
  <c r="AX118" i="85" s="1"/>
  <c r="AC118" i="85"/>
  <c r="AB118" i="85"/>
  <c r="AL118" i="85" s="1"/>
  <c r="AV118" i="85" s="1"/>
  <c r="AA118" i="85"/>
  <c r="AK118" i="85" s="1"/>
  <c r="AU118" i="85" s="1"/>
  <c r="Z118" i="85"/>
  <c r="AJ118" i="85" s="1"/>
  <c r="AT118" i="85" s="1"/>
  <c r="Y118" i="85"/>
  <c r="X118" i="85"/>
  <c r="W118" i="85"/>
  <c r="V118" i="85"/>
  <c r="AF118" i="85" s="1"/>
  <c r="U118" i="85"/>
  <c r="AE118" i="85" s="1"/>
  <c r="O118" i="85"/>
  <c r="AN117" i="85"/>
  <c r="AX117" i="85" s="1"/>
  <c r="AL117" i="85"/>
  <c r="AV117" i="85" s="1"/>
  <c r="AK117" i="85"/>
  <c r="AU117" i="85" s="1"/>
  <c r="AH117" i="85"/>
  <c r="AR117" i="85" s="1"/>
  <c r="AG117" i="85"/>
  <c r="AQ117" i="85" s="1"/>
  <c r="AF117" i="85"/>
  <c r="AP117" i="85" s="1"/>
  <c r="AD117" i="85"/>
  <c r="AC117" i="85"/>
  <c r="AM117" i="85" s="1"/>
  <c r="AW117" i="85" s="1"/>
  <c r="AB117" i="85"/>
  <c r="AA117" i="85"/>
  <c r="Z117" i="85"/>
  <c r="AJ117" i="85" s="1"/>
  <c r="AT117" i="85" s="1"/>
  <c r="Y117" i="85"/>
  <c r="X117" i="85"/>
  <c r="W117" i="85"/>
  <c r="V117" i="85"/>
  <c r="U117" i="85"/>
  <c r="AE117" i="85" s="1"/>
  <c r="AO117" i="85" s="1"/>
  <c r="O117" i="85"/>
  <c r="AV116" i="85"/>
  <c r="AR116" i="85"/>
  <c r="AP116" i="85"/>
  <c r="AO116" i="85"/>
  <c r="AM116" i="85"/>
  <c r="AW116" i="85" s="1"/>
  <c r="AK116" i="85"/>
  <c r="AU116" i="85" s="1"/>
  <c r="AJ116" i="85"/>
  <c r="AT116" i="85" s="1"/>
  <c r="AD116" i="85"/>
  <c r="AN116" i="85" s="1"/>
  <c r="AX116" i="85" s="1"/>
  <c r="AC116" i="85"/>
  <c r="AB116" i="85"/>
  <c r="AL116" i="85" s="1"/>
  <c r="AA116" i="85"/>
  <c r="Z116" i="85"/>
  <c r="Y116" i="85"/>
  <c r="X116" i="85"/>
  <c r="AH116" i="85" s="1"/>
  <c r="W116" i="85"/>
  <c r="AG116" i="85" s="1"/>
  <c r="AQ116" i="85" s="1"/>
  <c r="V116" i="85"/>
  <c r="AF116" i="85" s="1"/>
  <c r="U116" i="85"/>
  <c r="AE116" i="85" s="1"/>
  <c r="O116" i="85"/>
  <c r="AH115" i="85"/>
  <c r="AR115" i="85" s="1"/>
  <c r="AD115" i="85"/>
  <c r="AN115" i="85" s="1"/>
  <c r="AX115" i="85" s="1"/>
  <c r="AC115" i="85"/>
  <c r="AM115" i="85" s="1"/>
  <c r="AW115" i="85" s="1"/>
  <c r="AB115" i="85"/>
  <c r="AL115" i="85" s="1"/>
  <c r="AV115" i="85" s="1"/>
  <c r="AA115" i="85"/>
  <c r="AK115" i="85" s="1"/>
  <c r="AU115" i="85" s="1"/>
  <c r="Z115" i="85"/>
  <c r="AJ115" i="85" s="1"/>
  <c r="AT115" i="85" s="1"/>
  <c r="Y115" i="85"/>
  <c r="X115" i="85"/>
  <c r="W115" i="85"/>
  <c r="AG115" i="85" s="1"/>
  <c r="AQ115" i="85" s="1"/>
  <c r="V115" i="85"/>
  <c r="AF115" i="85" s="1"/>
  <c r="AP115" i="85" s="1"/>
  <c r="U115" i="85"/>
  <c r="AE115" i="85" s="1"/>
  <c r="AO115" i="85" s="1"/>
  <c r="O115" i="85"/>
  <c r="AE114" i="85"/>
  <c r="AO114" i="85" s="1"/>
  <c r="AD114" i="85"/>
  <c r="AN114" i="85" s="1"/>
  <c r="AX114" i="85" s="1"/>
  <c r="AC114" i="85"/>
  <c r="AM114" i="85" s="1"/>
  <c r="AW114" i="85" s="1"/>
  <c r="AB114" i="85"/>
  <c r="AL114" i="85" s="1"/>
  <c r="AV114" i="85" s="1"/>
  <c r="AA114" i="85"/>
  <c r="AK114" i="85" s="1"/>
  <c r="AU114" i="85" s="1"/>
  <c r="Z114" i="85"/>
  <c r="AJ114" i="85" s="1"/>
  <c r="AT114" i="85" s="1"/>
  <c r="Y114" i="85"/>
  <c r="X114" i="85"/>
  <c r="AH114" i="85" s="1"/>
  <c r="AR114" i="85" s="1"/>
  <c r="W114" i="85"/>
  <c r="AG114" i="85" s="1"/>
  <c r="AQ114" i="85" s="1"/>
  <c r="V114" i="85"/>
  <c r="AF114" i="85" s="1"/>
  <c r="AP114" i="85" s="1"/>
  <c r="U114" i="85"/>
  <c r="O114" i="85"/>
  <c r="AX113" i="85"/>
  <c r="AO113" i="85"/>
  <c r="AF113" i="85"/>
  <c r="AP113" i="85" s="1"/>
  <c r="AD113" i="85"/>
  <c r="AN113" i="85" s="1"/>
  <c r="AC113" i="85"/>
  <c r="AM113" i="85" s="1"/>
  <c r="AW113" i="85" s="1"/>
  <c r="AB113" i="85"/>
  <c r="AL113" i="85" s="1"/>
  <c r="AV113" i="85" s="1"/>
  <c r="AA113" i="85"/>
  <c r="AK113" i="85" s="1"/>
  <c r="AU113" i="85" s="1"/>
  <c r="Z113" i="85"/>
  <c r="AJ113" i="85" s="1"/>
  <c r="AT113" i="85" s="1"/>
  <c r="Y113" i="85"/>
  <c r="X113" i="85"/>
  <c r="AH113" i="85" s="1"/>
  <c r="AR113" i="85" s="1"/>
  <c r="W113" i="85"/>
  <c r="AG113" i="85" s="1"/>
  <c r="AQ113" i="85" s="1"/>
  <c r="V113" i="85"/>
  <c r="U113" i="85"/>
  <c r="AE113" i="85" s="1"/>
  <c r="O113" i="85"/>
  <c r="AU112" i="85"/>
  <c r="AQ112" i="85"/>
  <c r="AD112" i="85"/>
  <c r="AN112" i="85" s="1"/>
  <c r="AX112" i="85" s="1"/>
  <c r="AC112" i="85"/>
  <c r="AM112" i="85" s="1"/>
  <c r="AW112" i="85" s="1"/>
  <c r="AB112" i="85"/>
  <c r="AL112" i="85" s="1"/>
  <c r="AV112" i="85" s="1"/>
  <c r="AA112" i="85"/>
  <c r="AK112" i="85" s="1"/>
  <c r="Z112" i="85"/>
  <c r="AJ112" i="85" s="1"/>
  <c r="AT112" i="85" s="1"/>
  <c r="Y112" i="85"/>
  <c r="AI112" i="85" s="1"/>
  <c r="AS112" i="85" s="1"/>
  <c r="X112" i="85"/>
  <c r="AH112" i="85" s="1"/>
  <c r="AR112" i="85" s="1"/>
  <c r="W112" i="85"/>
  <c r="AG112" i="85" s="1"/>
  <c r="V112" i="85"/>
  <c r="AF112" i="85" s="1"/>
  <c r="AP112" i="85" s="1"/>
  <c r="U112" i="85"/>
  <c r="AE112" i="85" s="1"/>
  <c r="AO112" i="85" s="1"/>
  <c r="O112" i="85"/>
  <c r="AN111" i="85"/>
  <c r="AX111" i="85" s="1"/>
  <c r="AM111" i="85"/>
  <c r="AW111" i="85" s="1"/>
  <c r="AL111" i="85"/>
  <c r="AV111" i="85" s="1"/>
  <c r="AD111" i="85"/>
  <c r="AC111" i="85"/>
  <c r="AB111" i="85"/>
  <c r="AA111" i="85"/>
  <c r="AK111" i="85" s="1"/>
  <c r="AU111" i="85" s="1"/>
  <c r="Z111" i="85"/>
  <c r="AJ111" i="85" s="1"/>
  <c r="AT111" i="85" s="1"/>
  <c r="Y111" i="85"/>
  <c r="AI111" i="85" s="1"/>
  <c r="AS111" i="85" s="1"/>
  <c r="X111" i="85"/>
  <c r="AH111" i="85" s="1"/>
  <c r="AR111" i="85" s="1"/>
  <c r="W111" i="85"/>
  <c r="AG111" i="85" s="1"/>
  <c r="AQ111" i="85" s="1"/>
  <c r="V111" i="85"/>
  <c r="AF111" i="85" s="1"/>
  <c r="AP111" i="85" s="1"/>
  <c r="U111" i="85"/>
  <c r="AE111" i="85" s="1"/>
  <c r="AO111" i="85" s="1"/>
  <c r="O111" i="85"/>
  <c r="AQ110" i="85"/>
  <c r="AJ110" i="85"/>
  <c r="AT110" i="85" s="1"/>
  <c r="AD110" i="85"/>
  <c r="AN110" i="85" s="1"/>
  <c r="AX110" i="85" s="1"/>
  <c r="AC110" i="85"/>
  <c r="AM110" i="85" s="1"/>
  <c r="AW110" i="85" s="1"/>
  <c r="AB110" i="85"/>
  <c r="AL110" i="85" s="1"/>
  <c r="AV110" i="85" s="1"/>
  <c r="AA110" i="85"/>
  <c r="AK110" i="85" s="1"/>
  <c r="AU110" i="85" s="1"/>
  <c r="Z110" i="85"/>
  <c r="Y110" i="85"/>
  <c r="AI110" i="85" s="1"/>
  <c r="AS110" i="85" s="1"/>
  <c r="X110" i="85"/>
  <c r="AH110" i="85" s="1"/>
  <c r="AR110" i="85" s="1"/>
  <c r="W110" i="85"/>
  <c r="AG110" i="85" s="1"/>
  <c r="V110" i="85"/>
  <c r="AF110" i="85" s="1"/>
  <c r="AP110" i="85" s="1"/>
  <c r="U110" i="85"/>
  <c r="AE110" i="85" s="1"/>
  <c r="AO110" i="85" s="1"/>
  <c r="O110" i="85"/>
  <c r="AO109" i="85"/>
  <c r="AN109" i="85"/>
  <c r="AX109" i="85" s="1"/>
  <c r="AL109" i="85"/>
  <c r="AV109" i="85" s="1"/>
  <c r="AD109" i="85"/>
  <c r="AC109" i="85"/>
  <c r="AM109" i="85" s="1"/>
  <c r="AW109" i="85" s="1"/>
  <c r="AB109" i="85"/>
  <c r="AA109" i="85"/>
  <c r="AK109" i="85" s="1"/>
  <c r="AU109" i="85" s="1"/>
  <c r="Z109" i="85"/>
  <c r="AJ109" i="85" s="1"/>
  <c r="AT109" i="85" s="1"/>
  <c r="Y109" i="85"/>
  <c r="AI109" i="85" s="1"/>
  <c r="AS109" i="85" s="1"/>
  <c r="X109" i="85"/>
  <c r="AH109" i="85" s="1"/>
  <c r="AR109" i="85" s="1"/>
  <c r="W109" i="85"/>
  <c r="AG109" i="85" s="1"/>
  <c r="AQ109" i="85" s="1"/>
  <c r="V109" i="85"/>
  <c r="AF109" i="85" s="1"/>
  <c r="AP109" i="85" s="1"/>
  <c r="U109" i="85"/>
  <c r="AE109" i="85" s="1"/>
  <c r="O109" i="85"/>
  <c r="AQ108" i="85"/>
  <c r="AM108" i="85"/>
  <c r="AW108" i="85" s="1"/>
  <c r="AE108" i="85"/>
  <c r="AO108" i="85" s="1"/>
  <c r="AD108" i="85"/>
  <c r="AN108" i="85" s="1"/>
  <c r="AX108" i="85" s="1"/>
  <c r="AC108" i="85"/>
  <c r="AB108" i="85"/>
  <c r="AL108" i="85" s="1"/>
  <c r="AV108" i="85" s="1"/>
  <c r="AA108" i="85"/>
  <c r="AK108" i="85" s="1"/>
  <c r="AU108" i="85" s="1"/>
  <c r="Z108" i="85"/>
  <c r="AJ108" i="85" s="1"/>
  <c r="AT108" i="85" s="1"/>
  <c r="Y108" i="85"/>
  <c r="X108" i="85"/>
  <c r="AH108" i="85" s="1"/>
  <c r="AR108" i="85" s="1"/>
  <c r="W108" i="85"/>
  <c r="AG108" i="85" s="1"/>
  <c r="V108" i="85"/>
  <c r="AF108" i="85" s="1"/>
  <c r="AP108" i="85" s="1"/>
  <c r="U108" i="85"/>
  <c r="O108" i="85"/>
  <c r="AX107" i="85"/>
  <c r="AW107" i="85"/>
  <c r="AV107" i="85"/>
  <c r="AJ107" i="85"/>
  <c r="AT107" i="85" s="1"/>
  <c r="AD107" i="85"/>
  <c r="AN107" i="85" s="1"/>
  <c r="AC107" i="85"/>
  <c r="AM107" i="85" s="1"/>
  <c r="AB107" i="85"/>
  <c r="AL107" i="85" s="1"/>
  <c r="AA107" i="85"/>
  <c r="AK107" i="85" s="1"/>
  <c r="AU107" i="85" s="1"/>
  <c r="Z107" i="85"/>
  <c r="Y107" i="85"/>
  <c r="X107" i="85"/>
  <c r="AH107" i="85" s="1"/>
  <c r="AR107" i="85" s="1"/>
  <c r="W107" i="85"/>
  <c r="AG107" i="85" s="1"/>
  <c r="AQ107" i="85" s="1"/>
  <c r="V107" i="85"/>
  <c r="AF107" i="85" s="1"/>
  <c r="AP107" i="85" s="1"/>
  <c r="U107" i="85"/>
  <c r="AE107" i="85" s="1"/>
  <c r="AO107" i="85" s="1"/>
  <c r="O107" i="85"/>
  <c r="AH106" i="85"/>
  <c r="AR106" i="85" s="1"/>
  <c r="AE106" i="85"/>
  <c r="AO106" i="85" s="1"/>
  <c r="AD106" i="85"/>
  <c r="AN106" i="85" s="1"/>
  <c r="AX106" i="85" s="1"/>
  <c r="AC106" i="85"/>
  <c r="AM106" i="85" s="1"/>
  <c r="AW106" i="85" s="1"/>
  <c r="AB106" i="85"/>
  <c r="AL106" i="85" s="1"/>
  <c r="AV106" i="85" s="1"/>
  <c r="AA106" i="85"/>
  <c r="AK106" i="85" s="1"/>
  <c r="AU106" i="85" s="1"/>
  <c r="Z106" i="85"/>
  <c r="AJ106" i="85" s="1"/>
  <c r="AT106" i="85" s="1"/>
  <c r="Y106" i="85"/>
  <c r="X106" i="85"/>
  <c r="W106" i="85"/>
  <c r="AG106" i="85" s="1"/>
  <c r="AQ106" i="85" s="1"/>
  <c r="V106" i="85"/>
  <c r="AF106" i="85" s="1"/>
  <c r="AP106" i="85" s="1"/>
  <c r="U106" i="85"/>
  <c r="O106" i="85"/>
  <c r="AR105" i="85"/>
  <c r="AL105" i="85"/>
  <c r="AV105" i="85" s="1"/>
  <c r="AK105" i="85"/>
  <c r="AU105" i="85" s="1"/>
  <c r="AJ105" i="85"/>
  <c r="AT105" i="85" s="1"/>
  <c r="AG105" i="85"/>
  <c r="AQ105" i="85" s="1"/>
  <c r="AF105" i="85"/>
  <c r="AP105" i="85" s="1"/>
  <c r="AD105" i="85"/>
  <c r="AN105" i="85" s="1"/>
  <c r="AX105" i="85" s="1"/>
  <c r="AC105" i="85"/>
  <c r="AM105" i="85" s="1"/>
  <c r="AW105" i="85" s="1"/>
  <c r="AB105" i="85"/>
  <c r="AA105" i="85"/>
  <c r="Z105" i="85"/>
  <c r="Y105" i="85"/>
  <c r="X105" i="85"/>
  <c r="AH105" i="85" s="1"/>
  <c r="W105" i="85"/>
  <c r="V105" i="85"/>
  <c r="U105" i="85"/>
  <c r="AE105" i="85" s="1"/>
  <c r="AO105" i="85" s="1"/>
  <c r="O105" i="85"/>
  <c r="AR104" i="85"/>
  <c r="AQ104" i="85"/>
  <c r="AO104" i="85"/>
  <c r="AI104" i="85"/>
  <c r="AS104" i="85" s="1"/>
  <c r="AF104" i="85"/>
  <c r="AP104" i="85" s="1"/>
  <c r="AD104" i="85"/>
  <c r="AN104" i="85" s="1"/>
  <c r="AX104" i="85" s="1"/>
  <c r="AC104" i="85"/>
  <c r="AM104" i="85" s="1"/>
  <c r="AW104" i="85" s="1"/>
  <c r="AB104" i="85"/>
  <c r="AL104" i="85" s="1"/>
  <c r="AV104" i="85" s="1"/>
  <c r="AA104" i="85"/>
  <c r="AK104" i="85" s="1"/>
  <c r="AU104" i="85" s="1"/>
  <c r="Z104" i="85"/>
  <c r="AJ104" i="85" s="1"/>
  <c r="AT104" i="85" s="1"/>
  <c r="Y104" i="85"/>
  <c r="X104" i="85"/>
  <c r="AH104" i="85" s="1"/>
  <c r="W104" i="85"/>
  <c r="AG104" i="85" s="1"/>
  <c r="V104" i="85"/>
  <c r="U104" i="85"/>
  <c r="AE104" i="85" s="1"/>
  <c r="O104" i="85"/>
  <c r="AM103" i="85"/>
  <c r="AW103" i="85" s="1"/>
  <c r="AL103" i="85"/>
  <c r="AV103" i="85" s="1"/>
  <c r="AH103" i="85"/>
  <c r="AR103" i="85" s="1"/>
  <c r="AF103" i="85"/>
  <c r="AP103" i="85" s="1"/>
  <c r="AE103" i="85"/>
  <c r="AO103" i="85" s="1"/>
  <c r="AD103" i="85"/>
  <c r="AN103" i="85" s="1"/>
  <c r="AX103" i="85" s="1"/>
  <c r="AC103" i="85"/>
  <c r="AB103" i="85"/>
  <c r="AA103" i="85"/>
  <c r="AK103" i="85" s="1"/>
  <c r="AU103" i="85" s="1"/>
  <c r="Z103" i="85"/>
  <c r="AJ103" i="85" s="1"/>
  <c r="AT103" i="85" s="1"/>
  <c r="Y103" i="85"/>
  <c r="AI103" i="85" s="1"/>
  <c r="AS103" i="85" s="1"/>
  <c r="X103" i="85"/>
  <c r="W103" i="85"/>
  <c r="AG103" i="85" s="1"/>
  <c r="AQ103" i="85" s="1"/>
  <c r="V103" i="85"/>
  <c r="U103" i="85"/>
  <c r="O103" i="85"/>
  <c r="AQ102" i="85"/>
  <c r="AL102" i="85"/>
  <c r="AV102" i="85" s="1"/>
  <c r="AF102" i="85"/>
  <c r="AP102" i="85" s="1"/>
  <c r="AE102" i="85"/>
  <c r="AO102" i="85" s="1"/>
  <c r="AD102" i="85"/>
  <c r="AN102" i="85" s="1"/>
  <c r="AX102" i="85" s="1"/>
  <c r="AC102" i="85"/>
  <c r="AM102" i="85" s="1"/>
  <c r="AW102" i="85" s="1"/>
  <c r="AB102" i="85"/>
  <c r="AA102" i="85"/>
  <c r="AK102" i="85" s="1"/>
  <c r="AU102" i="85" s="1"/>
  <c r="Z102" i="85"/>
  <c r="AJ102" i="85" s="1"/>
  <c r="AT102" i="85" s="1"/>
  <c r="Y102" i="85"/>
  <c r="AI102" i="85" s="1"/>
  <c r="AS102" i="85" s="1"/>
  <c r="X102" i="85"/>
  <c r="W102" i="85"/>
  <c r="AG102" i="85" s="1"/>
  <c r="V102" i="85"/>
  <c r="U102" i="85"/>
  <c r="O102" i="85"/>
  <c r="AV101" i="85"/>
  <c r="AP101" i="85"/>
  <c r="AO101" i="85"/>
  <c r="AG101" i="85"/>
  <c r="AQ101" i="85" s="1"/>
  <c r="AD101" i="85"/>
  <c r="AN101" i="85" s="1"/>
  <c r="AX101" i="85" s="1"/>
  <c r="AC101" i="85"/>
  <c r="AM101" i="85" s="1"/>
  <c r="AW101" i="85" s="1"/>
  <c r="AB101" i="85"/>
  <c r="AL101" i="85" s="1"/>
  <c r="AA101" i="85"/>
  <c r="AK101" i="85" s="1"/>
  <c r="AU101" i="85" s="1"/>
  <c r="Z101" i="85"/>
  <c r="AJ101" i="85" s="1"/>
  <c r="AT101" i="85" s="1"/>
  <c r="Y101" i="85"/>
  <c r="AI101" i="85" s="1"/>
  <c r="AS101" i="85" s="1"/>
  <c r="X101" i="85"/>
  <c r="AH101" i="85" s="1"/>
  <c r="AR101" i="85" s="1"/>
  <c r="W101" i="85"/>
  <c r="V101" i="85"/>
  <c r="AF101" i="85" s="1"/>
  <c r="U101" i="85"/>
  <c r="AE101" i="85" s="1"/>
  <c r="O101" i="85"/>
  <c r="AM100" i="85"/>
  <c r="AW100" i="85" s="1"/>
  <c r="AL100" i="85"/>
  <c r="AV100" i="85" s="1"/>
  <c r="AH100" i="85"/>
  <c r="AR100" i="85" s="1"/>
  <c r="AG100" i="85"/>
  <c r="AQ100" i="85" s="1"/>
  <c r="AF100" i="85"/>
  <c r="AP100" i="85" s="1"/>
  <c r="AE100" i="85"/>
  <c r="AO100" i="85" s="1"/>
  <c r="AD100" i="85"/>
  <c r="AN100" i="85" s="1"/>
  <c r="AX100" i="85" s="1"/>
  <c r="AC100" i="85"/>
  <c r="AB100" i="85"/>
  <c r="AA100" i="85"/>
  <c r="AK100" i="85" s="1"/>
  <c r="AU100" i="85" s="1"/>
  <c r="Z100" i="85"/>
  <c r="AJ100" i="85" s="1"/>
  <c r="AT100" i="85" s="1"/>
  <c r="Y100" i="85"/>
  <c r="AI100" i="85" s="1"/>
  <c r="AS100" i="85" s="1"/>
  <c r="X100" i="85"/>
  <c r="W100" i="85"/>
  <c r="V100" i="85"/>
  <c r="U100" i="85"/>
  <c r="O100" i="85"/>
  <c r="AM99" i="85"/>
  <c r="AW99" i="85" s="1"/>
  <c r="AE99" i="85"/>
  <c r="AO99" i="85" s="1"/>
  <c r="AD99" i="85"/>
  <c r="AN99" i="85" s="1"/>
  <c r="AX99" i="85" s="1"/>
  <c r="AC99" i="85"/>
  <c r="AB99" i="85"/>
  <c r="AL99" i="85" s="1"/>
  <c r="AV99" i="85" s="1"/>
  <c r="AA99" i="85"/>
  <c r="AK99" i="85" s="1"/>
  <c r="AU99" i="85" s="1"/>
  <c r="Z99" i="85"/>
  <c r="AJ99" i="85" s="1"/>
  <c r="AT99" i="85" s="1"/>
  <c r="Y99" i="85"/>
  <c r="AI99" i="85" s="1"/>
  <c r="AS99" i="85" s="1"/>
  <c r="X99" i="85"/>
  <c r="W99" i="85"/>
  <c r="AG99" i="85" s="1"/>
  <c r="AQ99" i="85" s="1"/>
  <c r="V99" i="85"/>
  <c r="AF99" i="85" s="1"/>
  <c r="AP99" i="85" s="1"/>
  <c r="U99" i="85"/>
  <c r="O99" i="85"/>
  <c r="AP98" i="85"/>
  <c r="AO98" i="85"/>
  <c r="AI98" i="85"/>
  <c r="AS98" i="85" s="1"/>
  <c r="AH98" i="85"/>
  <c r="AR98" i="85" s="1"/>
  <c r="AD98" i="85"/>
  <c r="AN98" i="85" s="1"/>
  <c r="AX98" i="85" s="1"/>
  <c r="AC98" i="85"/>
  <c r="AM98" i="85" s="1"/>
  <c r="AW98" i="85" s="1"/>
  <c r="AB98" i="85"/>
  <c r="AL98" i="85" s="1"/>
  <c r="AV98" i="85" s="1"/>
  <c r="AA98" i="85"/>
  <c r="AK98" i="85" s="1"/>
  <c r="AU98" i="85" s="1"/>
  <c r="Z98" i="85"/>
  <c r="AJ98" i="85" s="1"/>
  <c r="AT98" i="85" s="1"/>
  <c r="Y98" i="85"/>
  <c r="X98" i="85"/>
  <c r="W98" i="85"/>
  <c r="AG98" i="85" s="1"/>
  <c r="AQ98" i="85" s="1"/>
  <c r="V98" i="85"/>
  <c r="AF98" i="85" s="1"/>
  <c r="U98" i="85"/>
  <c r="AE98" i="85" s="1"/>
  <c r="O98" i="85"/>
  <c r="AH97" i="85"/>
  <c r="AR97" i="85" s="1"/>
  <c r="AG97" i="85"/>
  <c r="AQ97" i="85" s="1"/>
  <c r="AD97" i="85"/>
  <c r="AN97" i="85" s="1"/>
  <c r="AX97" i="85" s="1"/>
  <c r="AC97" i="85"/>
  <c r="AM97" i="85" s="1"/>
  <c r="AW97" i="85" s="1"/>
  <c r="AB97" i="85"/>
  <c r="AL97" i="85" s="1"/>
  <c r="AV97" i="85" s="1"/>
  <c r="AA97" i="85"/>
  <c r="AK97" i="85" s="1"/>
  <c r="AU97" i="85" s="1"/>
  <c r="Z97" i="85"/>
  <c r="AJ97" i="85" s="1"/>
  <c r="AT97" i="85" s="1"/>
  <c r="Y97" i="85"/>
  <c r="AI97" i="85" s="1"/>
  <c r="AS97" i="85" s="1"/>
  <c r="X97" i="85"/>
  <c r="W97" i="85"/>
  <c r="V97" i="85"/>
  <c r="AF97" i="85" s="1"/>
  <c r="AP97" i="85" s="1"/>
  <c r="U97" i="85"/>
  <c r="AE97" i="85" s="1"/>
  <c r="AO97" i="85" s="1"/>
  <c r="O97" i="85"/>
  <c r="AS96" i="85"/>
  <c r="AD96" i="85"/>
  <c r="AN96" i="85" s="1"/>
  <c r="AX96" i="85" s="1"/>
  <c r="AC96" i="85"/>
  <c r="AM96" i="85" s="1"/>
  <c r="AW96" i="85" s="1"/>
  <c r="AB96" i="85"/>
  <c r="AL96" i="85" s="1"/>
  <c r="AV96" i="85" s="1"/>
  <c r="AA96" i="85"/>
  <c r="AK96" i="85" s="1"/>
  <c r="AU96" i="85" s="1"/>
  <c r="Z96" i="85"/>
  <c r="AJ96" i="85" s="1"/>
  <c r="AT96" i="85" s="1"/>
  <c r="Y96" i="85"/>
  <c r="AI96" i="85" s="1"/>
  <c r="X96" i="85"/>
  <c r="W96" i="85"/>
  <c r="AG96" i="85" s="1"/>
  <c r="AQ96" i="85" s="1"/>
  <c r="V96" i="85"/>
  <c r="AF96" i="85" s="1"/>
  <c r="AP96" i="85" s="1"/>
  <c r="U96" i="85"/>
  <c r="AE96" i="85" s="1"/>
  <c r="AO96" i="85" s="1"/>
  <c r="O96" i="85"/>
  <c r="AU95" i="85"/>
  <c r="AF95" i="85"/>
  <c r="AP95" i="85" s="1"/>
  <c r="AE95" i="85"/>
  <c r="AO95" i="85" s="1"/>
  <c r="AD95" i="85"/>
  <c r="AN95" i="85" s="1"/>
  <c r="AX95" i="85" s="1"/>
  <c r="AC95" i="85"/>
  <c r="AM95" i="85" s="1"/>
  <c r="AW95" i="85" s="1"/>
  <c r="AB95" i="85"/>
  <c r="AL95" i="85" s="1"/>
  <c r="AV95" i="85" s="1"/>
  <c r="AA95" i="85"/>
  <c r="AK95" i="85" s="1"/>
  <c r="Z95" i="85"/>
  <c r="AJ95" i="85" s="1"/>
  <c r="AT95" i="85" s="1"/>
  <c r="Y95" i="85"/>
  <c r="AI95" i="85" s="1"/>
  <c r="AS95" i="85" s="1"/>
  <c r="X95" i="85"/>
  <c r="W95" i="85"/>
  <c r="AG95" i="85" s="1"/>
  <c r="AQ95" i="85" s="1"/>
  <c r="V95" i="85"/>
  <c r="U95" i="85"/>
  <c r="O95" i="85"/>
  <c r="AS94" i="85"/>
  <c r="AE94" i="85"/>
  <c r="AO94" i="85" s="1"/>
  <c r="AD94" i="85"/>
  <c r="AN94" i="85" s="1"/>
  <c r="AX94" i="85" s="1"/>
  <c r="AC94" i="85"/>
  <c r="AM94" i="85" s="1"/>
  <c r="AW94" i="85" s="1"/>
  <c r="AB94" i="85"/>
  <c r="AL94" i="85" s="1"/>
  <c r="AV94" i="85" s="1"/>
  <c r="AA94" i="85"/>
  <c r="AK94" i="85" s="1"/>
  <c r="AU94" i="85" s="1"/>
  <c r="Z94" i="85"/>
  <c r="AJ94" i="85" s="1"/>
  <c r="AT94" i="85" s="1"/>
  <c r="Y94" i="85"/>
  <c r="AI94" i="85" s="1"/>
  <c r="X94" i="85"/>
  <c r="W94" i="85"/>
  <c r="AG94" i="85" s="1"/>
  <c r="AQ94" i="85" s="1"/>
  <c r="V94" i="85"/>
  <c r="AF94" i="85" s="1"/>
  <c r="AP94" i="85" s="1"/>
  <c r="U94" i="85"/>
  <c r="O94" i="85"/>
  <c r="AS93" i="85"/>
  <c r="AK93" i="85"/>
  <c r="AU93" i="85" s="1"/>
  <c r="AJ93" i="85"/>
  <c r="AT93" i="85" s="1"/>
  <c r="AE93" i="85"/>
  <c r="AO93" i="85" s="1"/>
  <c r="AD93" i="85"/>
  <c r="AN93" i="85" s="1"/>
  <c r="AX93" i="85" s="1"/>
  <c r="AC93" i="85"/>
  <c r="AM93" i="85" s="1"/>
  <c r="AW93" i="85" s="1"/>
  <c r="AB93" i="85"/>
  <c r="AL93" i="85" s="1"/>
  <c r="AV93" i="85" s="1"/>
  <c r="AA93" i="85"/>
  <c r="Z93" i="85"/>
  <c r="Y93" i="85"/>
  <c r="AI93" i="85" s="1"/>
  <c r="X93" i="85"/>
  <c r="AH93" i="85" s="1"/>
  <c r="AR93" i="85" s="1"/>
  <c r="W93" i="85"/>
  <c r="AG93" i="85" s="1"/>
  <c r="AQ93" i="85" s="1"/>
  <c r="V93" i="85"/>
  <c r="AF93" i="85" s="1"/>
  <c r="AP93" i="85" s="1"/>
  <c r="U93" i="85"/>
  <c r="O93" i="85"/>
  <c r="AU92" i="85"/>
  <c r="AO92" i="85"/>
  <c r="AH92" i="85"/>
  <c r="AR92" i="85" s="1"/>
  <c r="AG92" i="85"/>
  <c r="AQ92" i="85" s="1"/>
  <c r="AF92" i="85"/>
  <c r="AP92" i="85" s="1"/>
  <c r="AD92" i="85"/>
  <c r="AN92" i="85" s="1"/>
  <c r="AX92" i="85" s="1"/>
  <c r="AC92" i="85"/>
  <c r="AM92" i="85" s="1"/>
  <c r="AW92" i="85" s="1"/>
  <c r="AB92" i="85"/>
  <c r="AL92" i="85" s="1"/>
  <c r="AV92" i="85" s="1"/>
  <c r="AA92" i="85"/>
  <c r="AK92" i="85" s="1"/>
  <c r="Z92" i="85"/>
  <c r="AJ92" i="85" s="1"/>
  <c r="AT92" i="85" s="1"/>
  <c r="Y92" i="85"/>
  <c r="AI92" i="85" s="1"/>
  <c r="AS92" i="85" s="1"/>
  <c r="X92" i="85"/>
  <c r="W92" i="85"/>
  <c r="V92" i="85"/>
  <c r="U92" i="85"/>
  <c r="AE92" i="85" s="1"/>
  <c r="O92" i="85"/>
  <c r="AJ91" i="85"/>
  <c r="AT91" i="85" s="1"/>
  <c r="AI91" i="85"/>
  <c r="AS91" i="85" s="1"/>
  <c r="AD91" i="85"/>
  <c r="AN91" i="85" s="1"/>
  <c r="AX91" i="85" s="1"/>
  <c r="AC91" i="85"/>
  <c r="AM91" i="85" s="1"/>
  <c r="AW91" i="85" s="1"/>
  <c r="AB91" i="85"/>
  <c r="AL91" i="85" s="1"/>
  <c r="AV91" i="85" s="1"/>
  <c r="AA91" i="85"/>
  <c r="AK91" i="85" s="1"/>
  <c r="AU91" i="85" s="1"/>
  <c r="Z91" i="85"/>
  <c r="Y91" i="85"/>
  <c r="X91" i="85"/>
  <c r="AH91" i="85" s="1"/>
  <c r="AR91" i="85" s="1"/>
  <c r="W91" i="85"/>
  <c r="AG91" i="85" s="1"/>
  <c r="AQ91" i="85" s="1"/>
  <c r="V91" i="85"/>
  <c r="AF91" i="85" s="1"/>
  <c r="AP91" i="85" s="1"/>
  <c r="U91" i="85"/>
  <c r="AE91" i="85" s="1"/>
  <c r="AO91" i="85" s="1"/>
  <c r="O91" i="85"/>
  <c r="AK90" i="85"/>
  <c r="AU90" i="85" s="1"/>
  <c r="AF90" i="85"/>
  <c r="AP90" i="85" s="1"/>
  <c r="AE90" i="85"/>
  <c r="AO90" i="85" s="1"/>
  <c r="AD90" i="85"/>
  <c r="AN90" i="85" s="1"/>
  <c r="AX90" i="85" s="1"/>
  <c r="AC90" i="85"/>
  <c r="AM90" i="85" s="1"/>
  <c r="AW90" i="85" s="1"/>
  <c r="AB90" i="85"/>
  <c r="AL90" i="85" s="1"/>
  <c r="AV90" i="85" s="1"/>
  <c r="AA90" i="85"/>
  <c r="Z90" i="85"/>
  <c r="AJ90" i="85" s="1"/>
  <c r="AT90" i="85" s="1"/>
  <c r="Y90" i="85"/>
  <c r="AI90" i="85" s="1"/>
  <c r="AS90" i="85" s="1"/>
  <c r="X90" i="85"/>
  <c r="AH90" i="85" s="1"/>
  <c r="AR90" i="85" s="1"/>
  <c r="W90" i="85"/>
  <c r="AG90" i="85" s="1"/>
  <c r="AQ90" i="85" s="1"/>
  <c r="V90" i="85"/>
  <c r="U90" i="85"/>
  <c r="O90" i="85"/>
  <c r="AQ89" i="85"/>
  <c r="AP89" i="85"/>
  <c r="AK89" i="85"/>
  <c r="AU89" i="85" s="1"/>
  <c r="AD89" i="85"/>
  <c r="AN89" i="85" s="1"/>
  <c r="AX89" i="85" s="1"/>
  <c r="AC89" i="85"/>
  <c r="AM89" i="85" s="1"/>
  <c r="AW89" i="85" s="1"/>
  <c r="AB89" i="85"/>
  <c r="AL89" i="85" s="1"/>
  <c r="AV89" i="85" s="1"/>
  <c r="AA89" i="85"/>
  <c r="Z89" i="85"/>
  <c r="AJ89" i="85" s="1"/>
  <c r="AT89" i="85" s="1"/>
  <c r="Y89" i="85"/>
  <c r="AI89" i="85" s="1"/>
  <c r="AS89" i="85" s="1"/>
  <c r="X89" i="85"/>
  <c r="AH89" i="85" s="1"/>
  <c r="AR89" i="85" s="1"/>
  <c r="W89" i="85"/>
  <c r="AG89" i="85" s="1"/>
  <c r="V89" i="85"/>
  <c r="AF89" i="85" s="1"/>
  <c r="U89" i="85"/>
  <c r="AE89" i="85" s="1"/>
  <c r="AO89" i="85" s="1"/>
  <c r="O89" i="85"/>
  <c r="AE88" i="85"/>
  <c r="AO88" i="85" s="1"/>
  <c r="AD88" i="85"/>
  <c r="AN88" i="85" s="1"/>
  <c r="AX88" i="85" s="1"/>
  <c r="AC88" i="85"/>
  <c r="AM88" i="85" s="1"/>
  <c r="AW88" i="85" s="1"/>
  <c r="AB88" i="85"/>
  <c r="AL88" i="85" s="1"/>
  <c r="AV88" i="85" s="1"/>
  <c r="AA88" i="85"/>
  <c r="AK88" i="85" s="1"/>
  <c r="AU88" i="85" s="1"/>
  <c r="Z88" i="85"/>
  <c r="AJ88" i="85" s="1"/>
  <c r="AT88" i="85" s="1"/>
  <c r="Y88" i="85"/>
  <c r="AI88" i="85" s="1"/>
  <c r="AS88" i="85" s="1"/>
  <c r="X88" i="85"/>
  <c r="AH88" i="85" s="1"/>
  <c r="AR88" i="85" s="1"/>
  <c r="W88" i="85"/>
  <c r="AG88" i="85" s="1"/>
  <c r="AQ88" i="85" s="1"/>
  <c r="V88" i="85"/>
  <c r="AF88" i="85" s="1"/>
  <c r="AP88" i="85" s="1"/>
  <c r="U88" i="85"/>
  <c r="O88" i="85"/>
  <c r="AQ87" i="85"/>
  <c r="AD87" i="85"/>
  <c r="AN87" i="85" s="1"/>
  <c r="AX87" i="85" s="1"/>
  <c r="AC87" i="85"/>
  <c r="AM87" i="85" s="1"/>
  <c r="AW87" i="85" s="1"/>
  <c r="AB87" i="85"/>
  <c r="AL87" i="85" s="1"/>
  <c r="AV87" i="85" s="1"/>
  <c r="AA87" i="85"/>
  <c r="AK87" i="85" s="1"/>
  <c r="AU87" i="85" s="1"/>
  <c r="Z87" i="85"/>
  <c r="AJ87" i="85" s="1"/>
  <c r="AT87" i="85" s="1"/>
  <c r="Y87" i="85"/>
  <c r="AI87" i="85" s="1"/>
  <c r="AS87" i="85" s="1"/>
  <c r="X87" i="85"/>
  <c r="W87" i="85"/>
  <c r="AG87" i="85" s="1"/>
  <c r="V87" i="85"/>
  <c r="AF87" i="85" s="1"/>
  <c r="AP87" i="85" s="1"/>
  <c r="U87" i="85"/>
  <c r="AE87" i="85" s="1"/>
  <c r="AO87" i="85" s="1"/>
  <c r="O87" i="85"/>
  <c r="AO86" i="85"/>
  <c r="AL86" i="85"/>
  <c r="AV86" i="85" s="1"/>
  <c r="AJ86" i="85"/>
  <c r="AT86" i="85" s="1"/>
  <c r="AD86" i="85"/>
  <c r="AN86" i="85" s="1"/>
  <c r="AX86" i="85" s="1"/>
  <c r="AC86" i="85"/>
  <c r="AM86" i="85" s="1"/>
  <c r="AW86" i="85" s="1"/>
  <c r="AB86" i="85"/>
  <c r="AA86" i="85"/>
  <c r="AK86" i="85" s="1"/>
  <c r="AU86" i="85" s="1"/>
  <c r="Z86" i="85"/>
  <c r="Y86" i="85"/>
  <c r="AI86" i="85" s="1"/>
  <c r="AS86" i="85" s="1"/>
  <c r="X86" i="85"/>
  <c r="AH86" i="85" s="1"/>
  <c r="AR86" i="85" s="1"/>
  <c r="W86" i="85"/>
  <c r="V86" i="85"/>
  <c r="AF86" i="85" s="1"/>
  <c r="AP86" i="85" s="1"/>
  <c r="U86" i="85"/>
  <c r="AE86" i="85" s="1"/>
  <c r="O86" i="85"/>
  <c r="AS85" i="85"/>
  <c r="AP85" i="85"/>
  <c r="AN85" i="85"/>
  <c r="AX85" i="85" s="1"/>
  <c r="AM85" i="85"/>
  <c r="AW85" i="85" s="1"/>
  <c r="AL85" i="85"/>
  <c r="AV85" i="85" s="1"/>
  <c r="AK85" i="85"/>
  <c r="AU85" i="85" s="1"/>
  <c r="AE85" i="85"/>
  <c r="AO85" i="85" s="1"/>
  <c r="AD85" i="85"/>
  <c r="AC85" i="85"/>
  <c r="AB85" i="85"/>
  <c r="AA85" i="85"/>
  <c r="Z85" i="85"/>
  <c r="AJ85" i="85" s="1"/>
  <c r="AT85" i="85" s="1"/>
  <c r="Y85" i="85"/>
  <c r="AI85" i="85" s="1"/>
  <c r="X85" i="85"/>
  <c r="AH85" i="85" s="1"/>
  <c r="AR85" i="85" s="1"/>
  <c r="W85" i="85"/>
  <c r="V85" i="85"/>
  <c r="AF85" i="85" s="1"/>
  <c r="U85" i="85"/>
  <c r="O85" i="85"/>
  <c r="AW84" i="85"/>
  <c r="AV84" i="85"/>
  <c r="AU84" i="85"/>
  <c r="AR84" i="85"/>
  <c r="AP84" i="85"/>
  <c r="AN84" i="85"/>
  <c r="AX84" i="85" s="1"/>
  <c r="AK84" i="85"/>
  <c r="AJ84" i="85"/>
  <c r="AT84" i="85" s="1"/>
  <c r="AI84" i="85"/>
  <c r="AS84" i="85" s="1"/>
  <c r="AD84" i="85"/>
  <c r="AC84" i="85"/>
  <c r="AM84" i="85" s="1"/>
  <c r="AB84" i="85"/>
  <c r="AL84" i="85" s="1"/>
  <c r="AA84" i="85"/>
  <c r="Z84" i="85"/>
  <c r="Y84" i="85"/>
  <c r="X84" i="85"/>
  <c r="AH84" i="85" s="1"/>
  <c r="W84" i="85"/>
  <c r="V84" i="85"/>
  <c r="AF84" i="85" s="1"/>
  <c r="U84" i="85"/>
  <c r="AE84" i="85" s="1"/>
  <c r="AO84" i="85" s="1"/>
  <c r="O84" i="85"/>
  <c r="AW83" i="85"/>
  <c r="AV83" i="85"/>
  <c r="AT83" i="85"/>
  <c r="AQ83" i="85"/>
  <c r="AE83" i="85"/>
  <c r="AO83" i="85" s="1"/>
  <c r="AD83" i="85"/>
  <c r="AN83" i="85" s="1"/>
  <c r="AX83" i="85" s="1"/>
  <c r="AC83" i="85"/>
  <c r="AM83" i="85" s="1"/>
  <c r="AB83" i="85"/>
  <c r="AL83" i="85" s="1"/>
  <c r="AA83" i="85"/>
  <c r="AK83" i="85" s="1"/>
  <c r="AU83" i="85" s="1"/>
  <c r="Z83" i="85"/>
  <c r="AJ83" i="85" s="1"/>
  <c r="Y83" i="85"/>
  <c r="AI83" i="85" s="1"/>
  <c r="AS83" i="85" s="1"/>
  <c r="X83" i="85"/>
  <c r="AH83" i="85" s="1"/>
  <c r="AR83" i="85" s="1"/>
  <c r="W83" i="85"/>
  <c r="AG83" i="85" s="1"/>
  <c r="V83" i="85"/>
  <c r="U83" i="85"/>
  <c r="O83" i="85"/>
  <c r="AN82" i="85"/>
  <c r="AM82" i="85"/>
  <c r="AL82" i="85"/>
  <c r="AK82" i="85"/>
  <c r="AJ82" i="85"/>
  <c r="AI82" i="85"/>
  <c r="AH82" i="85"/>
  <c r="AG82" i="85"/>
  <c r="AF82" i="85"/>
  <c r="AE82" i="85"/>
  <c r="N82" i="85"/>
  <c r="M82" i="85"/>
  <c r="L82" i="85"/>
  <c r="K82" i="85"/>
  <c r="J82" i="85"/>
  <c r="I82" i="85"/>
  <c r="H82" i="85"/>
  <c r="AN81" i="85"/>
  <c r="AM81" i="85"/>
  <c r="AL81" i="85"/>
  <c r="AK81" i="85"/>
  <c r="AJ81" i="85"/>
  <c r="AI81" i="85"/>
  <c r="AH81" i="85"/>
  <c r="AG81" i="85"/>
  <c r="AF81" i="85"/>
  <c r="AE81" i="85"/>
  <c r="L81" i="85"/>
  <c r="I81" i="85"/>
  <c r="AN80" i="85"/>
  <c r="AM80" i="85"/>
  <c r="AL80" i="85"/>
  <c r="AK80" i="85"/>
  <c r="AJ80" i="85"/>
  <c r="AI80" i="85"/>
  <c r="AH80" i="85"/>
  <c r="AG80" i="85"/>
  <c r="AF80" i="85"/>
  <c r="AE80" i="85"/>
  <c r="O80" i="85"/>
  <c r="A80" i="85"/>
  <c r="A81" i="85" s="1"/>
  <c r="A82" i="85" s="1"/>
  <c r="AN79" i="85"/>
  <c r="AM79" i="85"/>
  <c r="AL79" i="85"/>
  <c r="AK79" i="85"/>
  <c r="AJ79" i="85"/>
  <c r="AI79" i="85"/>
  <c r="AH79" i="85"/>
  <c r="AG79" i="85"/>
  <c r="AF79" i="85"/>
  <c r="AE79" i="85"/>
  <c r="O79" i="85"/>
  <c r="AN78" i="85"/>
  <c r="AM78" i="85"/>
  <c r="AL78" i="85"/>
  <c r="AK78" i="85"/>
  <c r="AJ78" i="85"/>
  <c r="AI78" i="85"/>
  <c r="AH78" i="85"/>
  <c r="AG78" i="85"/>
  <c r="AF78" i="85"/>
  <c r="AE78" i="85"/>
  <c r="O78" i="85"/>
  <c r="AN77" i="85"/>
  <c r="AM77" i="85"/>
  <c r="AL77" i="85"/>
  <c r="AK77" i="85"/>
  <c r="AJ77" i="85"/>
  <c r="AI77" i="85"/>
  <c r="AH77" i="85"/>
  <c r="AG77" i="85"/>
  <c r="AF77" i="85"/>
  <c r="AE77" i="85"/>
  <c r="O77" i="85"/>
  <c r="AN76" i="85"/>
  <c r="AM76" i="85"/>
  <c r="AL76" i="85"/>
  <c r="AK76" i="85"/>
  <c r="AJ76" i="85"/>
  <c r="AI76" i="85"/>
  <c r="AH76" i="85"/>
  <c r="AG76" i="85"/>
  <c r="AF76" i="85"/>
  <c r="AE76" i="85"/>
  <c r="O76" i="85"/>
  <c r="AN75" i="85"/>
  <c r="AM75" i="85"/>
  <c r="AL75" i="85"/>
  <c r="AK75" i="85"/>
  <c r="AJ75" i="85"/>
  <c r="AI75" i="85"/>
  <c r="AH75" i="85"/>
  <c r="AG75" i="85"/>
  <c r="AF75" i="85"/>
  <c r="AE75" i="85"/>
  <c r="O75" i="85"/>
  <c r="AN74" i="85"/>
  <c r="AM74" i="85"/>
  <c r="AL74" i="85"/>
  <c r="AK74" i="85"/>
  <c r="AJ74" i="85"/>
  <c r="AI74" i="85"/>
  <c r="AH74" i="85"/>
  <c r="AG74" i="85"/>
  <c r="AF74" i="85"/>
  <c r="AE74" i="85"/>
  <c r="O74" i="85"/>
  <c r="AN73" i="85"/>
  <c r="AM73" i="85"/>
  <c r="AL73" i="85"/>
  <c r="AK73" i="85"/>
  <c r="AJ73" i="85"/>
  <c r="AI73" i="85"/>
  <c r="AH73" i="85"/>
  <c r="AG73" i="85"/>
  <c r="AF73" i="85"/>
  <c r="AE73" i="85"/>
  <c r="O73" i="85"/>
  <c r="AK72" i="85"/>
  <c r="AU72" i="85" s="1"/>
  <c r="AF72" i="85"/>
  <c r="AP72" i="85" s="1"/>
  <c r="AE72" i="85"/>
  <c r="AO72" i="85" s="1"/>
  <c r="AD72" i="85"/>
  <c r="AN72" i="85" s="1"/>
  <c r="AX72" i="85" s="1"/>
  <c r="AC72" i="85"/>
  <c r="AM72" i="85" s="1"/>
  <c r="AW72" i="85" s="1"/>
  <c r="AB72" i="85"/>
  <c r="AL72" i="85" s="1"/>
  <c r="AV72" i="85" s="1"/>
  <c r="AA72" i="85"/>
  <c r="Z72" i="85"/>
  <c r="AJ72" i="85" s="1"/>
  <c r="AT72" i="85" s="1"/>
  <c r="Y72" i="85"/>
  <c r="AI72" i="85" s="1"/>
  <c r="AS72" i="85" s="1"/>
  <c r="X72" i="85"/>
  <c r="AH72" i="85" s="1"/>
  <c r="AR72" i="85" s="1"/>
  <c r="W72" i="85"/>
  <c r="AG72" i="85" s="1"/>
  <c r="AQ72" i="85" s="1"/>
  <c r="V72" i="85"/>
  <c r="U72" i="85"/>
  <c r="O72" i="85"/>
  <c r="AJ71" i="85"/>
  <c r="AT71" i="85" s="1"/>
  <c r="AI71" i="85"/>
  <c r="AS71" i="85" s="1"/>
  <c r="AE71" i="85"/>
  <c r="AO71" i="85" s="1"/>
  <c r="AD71" i="85"/>
  <c r="AN71" i="85" s="1"/>
  <c r="AX71" i="85" s="1"/>
  <c r="AC71" i="85"/>
  <c r="AM71" i="85" s="1"/>
  <c r="AW71" i="85" s="1"/>
  <c r="AB71" i="85"/>
  <c r="AL71" i="85" s="1"/>
  <c r="AV71" i="85" s="1"/>
  <c r="AA71" i="85"/>
  <c r="AK71" i="85" s="1"/>
  <c r="AU71" i="85" s="1"/>
  <c r="Z71" i="85"/>
  <c r="Y71" i="85"/>
  <c r="X71" i="85"/>
  <c r="AH71" i="85" s="1"/>
  <c r="AR71" i="85" s="1"/>
  <c r="W71" i="85"/>
  <c r="AG71" i="85" s="1"/>
  <c r="AQ71" i="85" s="1"/>
  <c r="V71" i="85"/>
  <c r="AF71" i="85" s="1"/>
  <c r="AP71" i="85" s="1"/>
  <c r="U71" i="85"/>
  <c r="O71" i="85"/>
  <c r="AT70" i="85"/>
  <c r="AQ70" i="85"/>
  <c r="AD70" i="85"/>
  <c r="AN70" i="85" s="1"/>
  <c r="AX70" i="85" s="1"/>
  <c r="AC70" i="85"/>
  <c r="AM70" i="85" s="1"/>
  <c r="AW70" i="85" s="1"/>
  <c r="AB70" i="85"/>
  <c r="AL70" i="85" s="1"/>
  <c r="AV70" i="85" s="1"/>
  <c r="AA70" i="85"/>
  <c r="AK70" i="85" s="1"/>
  <c r="AU70" i="85" s="1"/>
  <c r="Z70" i="85"/>
  <c r="AJ70" i="85" s="1"/>
  <c r="W70" i="85"/>
  <c r="AG70" i="85" s="1"/>
  <c r="V70" i="85"/>
  <c r="AF70" i="85" s="1"/>
  <c r="AP70" i="85" s="1"/>
  <c r="U70" i="85"/>
  <c r="AE70" i="85" s="1"/>
  <c r="AO70" i="85" s="1"/>
  <c r="O70" i="85"/>
  <c r="AD69" i="85"/>
  <c r="AN69" i="85" s="1"/>
  <c r="AX69" i="85" s="1"/>
  <c r="AC69" i="85"/>
  <c r="AM69" i="85" s="1"/>
  <c r="AW69" i="85" s="1"/>
  <c r="AB69" i="85"/>
  <c r="AL69" i="85" s="1"/>
  <c r="AV69" i="85" s="1"/>
  <c r="AA69" i="85"/>
  <c r="AK69" i="85" s="1"/>
  <c r="AU69" i="85" s="1"/>
  <c r="W69" i="85"/>
  <c r="AG69" i="85" s="1"/>
  <c r="AQ69" i="85" s="1"/>
  <c r="V69" i="85"/>
  <c r="AF69" i="85" s="1"/>
  <c r="AP69" i="85" s="1"/>
  <c r="U69" i="85"/>
  <c r="AE69" i="85" s="1"/>
  <c r="AO69" i="85" s="1"/>
  <c r="O69" i="85"/>
  <c r="AW68" i="85"/>
  <c r="AD68" i="85"/>
  <c r="AN68" i="85" s="1"/>
  <c r="AX68" i="85" s="1"/>
  <c r="AC68" i="85"/>
  <c r="AM68" i="85" s="1"/>
  <c r="AB68" i="85"/>
  <c r="AL68" i="85" s="1"/>
  <c r="AV68" i="85" s="1"/>
  <c r="AA68" i="85"/>
  <c r="AK68" i="85" s="1"/>
  <c r="Z68" i="85"/>
  <c r="AJ68" i="85" s="1"/>
  <c r="AT68" i="85" s="1"/>
  <c r="W68" i="85"/>
  <c r="AG68" i="85" s="1"/>
  <c r="AQ68" i="85" s="1"/>
  <c r="V68" i="85"/>
  <c r="AF68" i="85" s="1"/>
  <c r="AP68" i="85" s="1"/>
  <c r="U68" i="85"/>
  <c r="AE68" i="85" s="1"/>
  <c r="AO68" i="85" s="1"/>
  <c r="O68" i="85"/>
  <c r="AN67" i="85"/>
  <c r="AX67" i="85" s="1"/>
  <c r="AM67" i="85"/>
  <c r="AW67" i="85" s="1"/>
  <c r="AL67" i="85"/>
  <c r="AJ67" i="85"/>
  <c r="AT67" i="85" s="1"/>
  <c r="AI67" i="85"/>
  <c r="AS67" i="85" s="1"/>
  <c r="AD67" i="85"/>
  <c r="AC67" i="85"/>
  <c r="AB67" i="85"/>
  <c r="AA67" i="85"/>
  <c r="AK67" i="85" s="1"/>
  <c r="AU67" i="85" s="1"/>
  <c r="Z67" i="85"/>
  <c r="W67" i="85"/>
  <c r="AG67" i="85" s="1"/>
  <c r="AQ67" i="85" s="1"/>
  <c r="V67" i="85"/>
  <c r="AF67" i="85" s="1"/>
  <c r="AP67" i="85" s="1"/>
  <c r="U67" i="85"/>
  <c r="AE67" i="85" s="1"/>
  <c r="AO67" i="85" s="1"/>
  <c r="O67" i="85"/>
  <c r="AX66" i="85"/>
  <c r="AQ66" i="85"/>
  <c r="AM66" i="85"/>
  <c r="AW66" i="85" s="1"/>
  <c r="AL66" i="85"/>
  <c r="AV66" i="85" s="1"/>
  <c r="AG66" i="85"/>
  <c r="AD66" i="85"/>
  <c r="AN66" i="85" s="1"/>
  <c r="AC66" i="85"/>
  <c r="AB66" i="85"/>
  <c r="AA66" i="85"/>
  <c r="AK66" i="85" s="1"/>
  <c r="AU66" i="85" s="1"/>
  <c r="Z66" i="85"/>
  <c r="AJ66" i="85" s="1"/>
  <c r="AT66" i="85" s="1"/>
  <c r="V66" i="85"/>
  <c r="AF66" i="85" s="1"/>
  <c r="AP66" i="85" s="1"/>
  <c r="U66" i="85"/>
  <c r="AE66" i="85" s="1"/>
  <c r="AO66" i="85" s="1"/>
  <c r="O66" i="85"/>
  <c r="AX65" i="85"/>
  <c r="AW65" i="85"/>
  <c r="AG65" i="85"/>
  <c r="AQ65" i="85" s="1"/>
  <c r="AE65" i="85"/>
  <c r="AO65" i="85" s="1"/>
  <c r="AD65" i="85"/>
  <c r="AN65" i="85" s="1"/>
  <c r="AC65" i="85"/>
  <c r="AM65" i="85" s="1"/>
  <c r="AB65" i="85"/>
  <c r="AL65" i="85" s="1"/>
  <c r="AV65" i="85" s="1"/>
  <c r="AA65" i="85"/>
  <c r="AK65" i="85" s="1"/>
  <c r="AU65" i="85" s="1"/>
  <c r="Z65" i="85"/>
  <c r="AJ65" i="85" s="1"/>
  <c r="Y65" i="85"/>
  <c r="AI65" i="85" s="1"/>
  <c r="AS65" i="85" s="1"/>
  <c r="V65" i="85"/>
  <c r="AF65" i="85" s="1"/>
  <c r="AP65" i="85" s="1"/>
  <c r="U65" i="85"/>
  <c r="O65" i="85"/>
  <c r="AN64" i="85"/>
  <c r="AM64" i="85"/>
  <c r="AL64" i="85"/>
  <c r="AK64" i="85"/>
  <c r="AJ64" i="85"/>
  <c r="AI64" i="85"/>
  <c r="AH64" i="85"/>
  <c r="AG64" i="85"/>
  <c r="AF64" i="85"/>
  <c r="AE64" i="85"/>
  <c r="N64" i="85"/>
  <c r="M64" i="85"/>
  <c r="L64" i="85"/>
  <c r="K64" i="85"/>
  <c r="J64" i="85"/>
  <c r="I64" i="85"/>
  <c r="H64" i="85"/>
  <c r="A64" i="85"/>
  <c r="AN63" i="85"/>
  <c r="AM63" i="85"/>
  <c r="AL63" i="85"/>
  <c r="AK63" i="85"/>
  <c r="AJ63" i="85"/>
  <c r="AI63" i="85"/>
  <c r="AH63" i="85"/>
  <c r="AG63" i="85"/>
  <c r="AF63" i="85"/>
  <c r="AE63" i="85"/>
  <c r="AN62" i="85"/>
  <c r="AM62" i="85"/>
  <c r="AL62" i="85"/>
  <c r="AK62" i="85"/>
  <c r="AJ62" i="85"/>
  <c r="AI62" i="85"/>
  <c r="AH62" i="85"/>
  <c r="AG62" i="85"/>
  <c r="AF62" i="85"/>
  <c r="AE62" i="85"/>
  <c r="O62" i="85"/>
  <c r="AN61" i="85"/>
  <c r="AM61" i="85"/>
  <c r="AL61" i="85"/>
  <c r="AK61" i="85"/>
  <c r="AJ61" i="85"/>
  <c r="AI61" i="85"/>
  <c r="AH61" i="85"/>
  <c r="AG61" i="85"/>
  <c r="AF61" i="85"/>
  <c r="AE61" i="85"/>
  <c r="O61" i="85"/>
  <c r="AN60" i="85"/>
  <c r="AM60" i="85"/>
  <c r="AL60" i="85"/>
  <c r="AK60" i="85"/>
  <c r="AJ60" i="85"/>
  <c r="AI60" i="85"/>
  <c r="AH60" i="85"/>
  <c r="AG60" i="85"/>
  <c r="AF60" i="85"/>
  <c r="AE60" i="85"/>
  <c r="O60" i="85"/>
  <c r="AN59" i="85"/>
  <c r="AM59" i="85"/>
  <c r="AL59" i="85"/>
  <c r="AK59" i="85"/>
  <c r="AJ59" i="85"/>
  <c r="AI59" i="85"/>
  <c r="AH59" i="85"/>
  <c r="AG59" i="85"/>
  <c r="AF59" i="85"/>
  <c r="AE59" i="85"/>
  <c r="O59" i="85"/>
  <c r="AN58" i="85"/>
  <c r="AM58" i="85"/>
  <c r="AL58" i="85"/>
  <c r="AK58" i="85"/>
  <c r="AJ58" i="85"/>
  <c r="AI58" i="85"/>
  <c r="AH58" i="85"/>
  <c r="AG58" i="85"/>
  <c r="AF58" i="85"/>
  <c r="AE58" i="85"/>
  <c r="O58" i="85"/>
  <c r="AM57" i="85"/>
  <c r="AL57" i="85"/>
  <c r="AK57" i="85"/>
  <c r="AF57" i="85"/>
  <c r="AE57" i="85"/>
  <c r="AD57" i="85"/>
  <c r="AN57" i="85" s="1"/>
  <c r="AC57" i="85"/>
  <c r="AB57" i="85"/>
  <c r="AA57" i="85"/>
  <c r="Z57" i="85"/>
  <c r="AJ57" i="85" s="1"/>
  <c r="Y57" i="85"/>
  <c r="AI57" i="85" s="1"/>
  <c r="X57" i="85"/>
  <c r="AH57" i="85" s="1"/>
  <c r="W57" i="85"/>
  <c r="AG57" i="85" s="1"/>
  <c r="V57" i="85"/>
  <c r="U57" i="85"/>
  <c r="O57" i="85"/>
  <c r="AV56" i="85"/>
  <c r="AR56" i="85"/>
  <c r="AQ56" i="85"/>
  <c r="AD56" i="85"/>
  <c r="AN56" i="85" s="1"/>
  <c r="AX56" i="85" s="1"/>
  <c r="AC56" i="85"/>
  <c r="AM56" i="85" s="1"/>
  <c r="AW56" i="85" s="1"/>
  <c r="AB56" i="85"/>
  <c r="AL56" i="85" s="1"/>
  <c r="AA56" i="85"/>
  <c r="AK56" i="85" s="1"/>
  <c r="AU56" i="85" s="1"/>
  <c r="Z56" i="85"/>
  <c r="AJ56" i="85" s="1"/>
  <c r="AT56" i="85" s="1"/>
  <c r="Y56" i="85"/>
  <c r="AI56" i="85" s="1"/>
  <c r="AS56" i="85" s="1"/>
  <c r="X56" i="85"/>
  <c r="AH56" i="85" s="1"/>
  <c r="W56" i="85"/>
  <c r="AG56" i="85" s="1"/>
  <c r="V56" i="85"/>
  <c r="AF56" i="85" s="1"/>
  <c r="AP56" i="85" s="1"/>
  <c r="U56" i="85"/>
  <c r="AE56" i="85" s="1"/>
  <c r="AO56" i="85" s="1"/>
  <c r="O56" i="85"/>
  <c r="AM55" i="85"/>
  <c r="AW55" i="85" s="1"/>
  <c r="AL55" i="85"/>
  <c r="AV55" i="85" s="1"/>
  <c r="AD55" i="85"/>
  <c r="AN55" i="85" s="1"/>
  <c r="AX55" i="85" s="1"/>
  <c r="AC55" i="85"/>
  <c r="AB55" i="85"/>
  <c r="AA55" i="85"/>
  <c r="AK55" i="85" s="1"/>
  <c r="AU55" i="85" s="1"/>
  <c r="Z55" i="85"/>
  <c r="AJ55" i="85" s="1"/>
  <c r="AT55" i="85" s="1"/>
  <c r="Y55" i="85"/>
  <c r="AI55" i="85" s="1"/>
  <c r="AS55" i="85" s="1"/>
  <c r="X55" i="85"/>
  <c r="AH55" i="85" s="1"/>
  <c r="AR55" i="85" s="1"/>
  <c r="W55" i="85"/>
  <c r="AG55" i="85" s="1"/>
  <c r="AQ55" i="85" s="1"/>
  <c r="V55" i="85"/>
  <c r="AF55" i="85" s="1"/>
  <c r="AP55" i="85" s="1"/>
  <c r="U55" i="85"/>
  <c r="AE55" i="85" s="1"/>
  <c r="AO55" i="85" s="1"/>
  <c r="O55" i="85"/>
  <c r="AF54" i="85"/>
  <c r="AP54" i="85" s="1"/>
  <c r="AD54" i="85"/>
  <c r="AN54" i="85" s="1"/>
  <c r="AX54" i="85" s="1"/>
  <c r="AC54" i="85"/>
  <c r="AB54" i="85"/>
  <c r="AL54" i="85" s="1"/>
  <c r="AV54" i="85" s="1"/>
  <c r="AA54" i="85"/>
  <c r="AK54" i="85" s="1"/>
  <c r="AU54" i="85" s="1"/>
  <c r="Z54" i="85"/>
  <c r="AJ54" i="85" s="1"/>
  <c r="AT54" i="85" s="1"/>
  <c r="Y54" i="85"/>
  <c r="AI54" i="85" s="1"/>
  <c r="AS54" i="85" s="1"/>
  <c r="X54" i="85"/>
  <c r="AH54" i="85" s="1"/>
  <c r="AR54" i="85" s="1"/>
  <c r="W54" i="85"/>
  <c r="AG54" i="85" s="1"/>
  <c r="AQ54" i="85" s="1"/>
  <c r="V54" i="85"/>
  <c r="U54" i="85"/>
  <c r="AE54" i="85" s="1"/>
  <c r="AO54" i="85" s="1"/>
  <c r="O54" i="85"/>
  <c r="AJ53" i="85"/>
  <c r="AT53" i="85" s="1"/>
  <c r="AH53" i="85"/>
  <c r="AR53" i="85" s="1"/>
  <c r="AG53" i="85"/>
  <c r="AQ53" i="85" s="1"/>
  <c r="AD53" i="85"/>
  <c r="AN53" i="85" s="1"/>
  <c r="AX53" i="85" s="1"/>
  <c r="AC53" i="85"/>
  <c r="AM53" i="85" s="1"/>
  <c r="AW53" i="85" s="1"/>
  <c r="AB53" i="85"/>
  <c r="AA53" i="85"/>
  <c r="AK53" i="85" s="1"/>
  <c r="AU53" i="85" s="1"/>
  <c r="Z53" i="85"/>
  <c r="Y53" i="85"/>
  <c r="AI53" i="85" s="1"/>
  <c r="AS53" i="85" s="1"/>
  <c r="X53" i="85"/>
  <c r="W53" i="85"/>
  <c r="V53" i="85"/>
  <c r="AF53" i="85" s="1"/>
  <c r="AP53" i="85" s="1"/>
  <c r="U53" i="85"/>
  <c r="AE53" i="85" s="1"/>
  <c r="AO53" i="85" s="1"/>
  <c r="O53" i="85"/>
  <c r="AQ52" i="85"/>
  <c r="AP52" i="85"/>
  <c r="AO52" i="85"/>
  <c r="AD52" i="85"/>
  <c r="AN52" i="85" s="1"/>
  <c r="AX52" i="85" s="1"/>
  <c r="AC52" i="85"/>
  <c r="AM52" i="85" s="1"/>
  <c r="AW52" i="85" s="1"/>
  <c r="AB52" i="85"/>
  <c r="AL52" i="85" s="1"/>
  <c r="AV52" i="85" s="1"/>
  <c r="AA52" i="85"/>
  <c r="Z52" i="85"/>
  <c r="AJ52" i="85" s="1"/>
  <c r="AT52" i="85" s="1"/>
  <c r="Y52" i="85"/>
  <c r="AI52" i="85" s="1"/>
  <c r="AS52" i="85" s="1"/>
  <c r="X52" i="85"/>
  <c r="AH52" i="85" s="1"/>
  <c r="AR52" i="85" s="1"/>
  <c r="W52" i="85"/>
  <c r="AG52" i="85" s="1"/>
  <c r="V52" i="85"/>
  <c r="AF52" i="85" s="1"/>
  <c r="U52" i="85"/>
  <c r="AE52" i="85" s="1"/>
  <c r="O52" i="85"/>
  <c r="AM51" i="85"/>
  <c r="AW51" i="85" s="1"/>
  <c r="AH51" i="85"/>
  <c r="AR51" i="85" s="1"/>
  <c r="AG51" i="85"/>
  <c r="AQ51" i="85" s="1"/>
  <c r="AF51" i="85"/>
  <c r="AP51" i="85" s="1"/>
  <c r="AE51" i="85"/>
  <c r="AO51" i="85" s="1"/>
  <c r="AD51" i="85"/>
  <c r="AN51" i="85" s="1"/>
  <c r="AX51" i="85" s="1"/>
  <c r="AC51" i="85"/>
  <c r="AB51" i="85"/>
  <c r="AL51" i="85" s="1"/>
  <c r="AV51" i="85" s="1"/>
  <c r="AA51" i="85"/>
  <c r="Z51" i="85"/>
  <c r="AJ51" i="85" s="1"/>
  <c r="AT51" i="85" s="1"/>
  <c r="Y51" i="85"/>
  <c r="AI51" i="85" s="1"/>
  <c r="AS51" i="85" s="1"/>
  <c r="X51" i="85"/>
  <c r="W51" i="85"/>
  <c r="V51" i="85"/>
  <c r="U51" i="85"/>
  <c r="O51" i="85"/>
  <c r="AX50" i="85"/>
  <c r="AJ50" i="85"/>
  <c r="AT50" i="85" s="1"/>
  <c r="AI50" i="85"/>
  <c r="AS50" i="85" s="1"/>
  <c r="AD50" i="85"/>
  <c r="AN50" i="85" s="1"/>
  <c r="AC50" i="85"/>
  <c r="AM50" i="85" s="1"/>
  <c r="AW50" i="85" s="1"/>
  <c r="AB50" i="85"/>
  <c r="AL50" i="85" s="1"/>
  <c r="AV50" i="85" s="1"/>
  <c r="AA50" i="85"/>
  <c r="Z50" i="85"/>
  <c r="Y50" i="85"/>
  <c r="X50" i="85"/>
  <c r="AH50" i="85" s="1"/>
  <c r="AR50" i="85" s="1"/>
  <c r="W50" i="85"/>
  <c r="AG50" i="85" s="1"/>
  <c r="AQ50" i="85" s="1"/>
  <c r="V50" i="85"/>
  <c r="AF50" i="85" s="1"/>
  <c r="AP50" i="85" s="1"/>
  <c r="U50" i="85"/>
  <c r="AE50" i="85" s="1"/>
  <c r="AO50" i="85" s="1"/>
  <c r="O50" i="85"/>
  <c r="AN49" i="85"/>
  <c r="AM49" i="85"/>
  <c r="AL49" i="85"/>
  <c r="AK49" i="85"/>
  <c r="AJ49" i="85"/>
  <c r="AI49" i="85"/>
  <c r="AH49" i="85"/>
  <c r="AG49" i="85"/>
  <c r="AF49" i="85"/>
  <c r="AE49" i="85"/>
  <c r="N49" i="85"/>
  <c r="M49" i="85"/>
  <c r="L49" i="85"/>
  <c r="K49" i="85"/>
  <c r="J49" i="85"/>
  <c r="I49" i="85"/>
  <c r="H49" i="85"/>
  <c r="AU46" i="85"/>
  <c r="AD46" i="85"/>
  <c r="AN46" i="85" s="1"/>
  <c r="AX46" i="85" s="1"/>
  <c r="AC46" i="85"/>
  <c r="AM46" i="85" s="1"/>
  <c r="AW46" i="85" s="1"/>
  <c r="AB46" i="85"/>
  <c r="AL46" i="85" s="1"/>
  <c r="AV46" i="85" s="1"/>
  <c r="AA46" i="85"/>
  <c r="AK46" i="85" s="1"/>
  <c r="Z46" i="85"/>
  <c r="Y46" i="85"/>
  <c r="AI46" i="85" s="1"/>
  <c r="AS46" i="85" s="1"/>
  <c r="X46" i="85"/>
  <c r="AH46" i="85" s="1"/>
  <c r="AR46" i="85" s="1"/>
  <c r="W46" i="85"/>
  <c r="AG46" i="85" s="1"/>
  <c r="AQ46" i="85" s="1"/>
  <c r="V46" i="85"/>
  <c r="AF46" i="85" s="1"/>
  <c r="AP46" i="85" s="1"/>
  <c r="U46" i="85"/>
  <c r="AE46" i="85" s="1"/>
  <c r="AO46" i="85" s="1"/>
  <c r="O46" i="85"/>
  <c r="AJ45" i="85"/>
  <c r="AT45" i="85" s="1"/>
  <c r="AD45" i="85"/>
  <c r="AN45" i="85" s="1"/>
  <c r="AX45" i="85" s="1"/>
  <c r="AC45" i="85"/>
  <c r="AM45" i="85" s="1"/>
  <c r="AW45" i="85" s="1"/>
  <c r="AB45" i="85"/>
  <c r="AL45" i="85" s="1"/>
  <c r="AV45" i="85" s="1"/>
  <c r="AA45" i="85"/>
  <c r="AK45" i="85" s="1"/>
  <c r="AU45" i="85" s="1"/>
  <c r="Z45" i="85"/>
  <c r="Y45" i="85"/>
  <c r="X45" i="85"/>
  <c r="AH45" i="85" s="1"/>
  <c r="AR45" i="85" s="1"/>
  <c r="W45" i="85"/>
  <c r="AG45" i="85" s="1"/>
  <c r="AQ45" i="85" s="1"/>
  <c r="V45" i="85"/>
  <c r="AF45" i="85" s="1"/>
  <c r="AP45" i="85" s="1"/>
  <c r="U45" i="85"/>
  <c r="AE45" i="85" s="1"/>
  <c r="AO45" i="85" s="1"/>
  <c r="O45" i="85"/>
  <c r="AX44" i="85"/>
  <c r="AU44" i="85"/>
  <c r="AM44" i="85"/>
  <c r="AW44" i="85" s="1"/>
  <c r="AL44" i="85"/>
  <c r="AV44" i="85" s="1"/>
  <c r="AD44" i="85"/>
  <c r="AN44" i="85" s="1"/>
  <c r="AC44" i="85"/>
  <c r="AB44" i="85"/>
  <c r="AA44" i="85"/>
  <c r="AK44" i="85" s="1"/>
  <c r="Z44" i="85"/>
  <c r="Y44" i="85"/>
  <c r="AI44" i="85" s="1"/>
  <c r="AS44" i="85" s="1"/>
  <c r="X44" i="85"/>
  <c r="AH44" i="85" s="1"/>
  <c r="AR44" i="85" s="1"/>
  <c r="W44" i="85"/>
  <c r="AG44" i="85" s="1"/>
  <c r="AQ44" i="85" s="1"/>
  <c r="V44" i="85"/>
  <c r="AF44" i="85" s="1"/>
  <c r="AP44" i="85" s="1"/>
  <c r="U44" i="85"/>
  <c r="AE44" i="85" s="1"/>
  <c r="AO44" i="85" s="1"/>
  <c r="O44" i="85"/>
  <c r="AS43" i="85"/>
  <c r="AP43" i="85"/>
  <c r="AD43" i="85"/>
  <c r="AN43" i="85" s="1"/>
  <c r="AX43" i="85" s="1"/>
  <c r="AC43" i="85"/>
  <c r="AM43" i="85" s="1"/>
  <c r="AW43" i="85" s="1"/>
  <c r="AB43" i="85"/>
  <c r="AL43" i="85" s="1"/>
  <c r="AV43" i="85" s="1"/>
  <c r="AA43" i="85"/>
  <c r="AK43" i="85" s="1"/>
  <c r="AU43" i="85" s="1"/>
  <c r="Z43" i="85"/>
  <c r="Y43" i="85"/>
  <c r="AI43" i="85" s="1"/>
  <c r="X43" i="85"/>
  <c r="AH43" i="85" s="1"/>
  <c r="AR43" i="85" s="1"/>
  <c r="W43" i="85"/>
  <c r="AG43" i="85" s="1"/>
  <c r="AQ43" i="85" s="1"/>
  <c r="V43" i="85"/>
  <c r="AF43" i="85" s="1"/>
  <c r="U43" i="85"/>
  <c r="AE43" i="85" s="1"/>
  <c r="AO43" i="85" s="1"/>
  <c r="O43" i="85"/>
  <c r="AO42" i="85"/>
  <c r="AF42" i="85"/>
  <c r="AP42" i="85" s="1"/>
  <c r="AD42" i="85"/>
  <c r="AN42" i="85" s="1"/>
  <c r="AX42" i="85" s="1"/>
  <c r="AC42" i="85"/>
  <c r="AM42" i="85" s="1"/>
  <c r="AW42" i="85" s="1"/>
  <c r="AB42" i="85"/>
  <c r="AL42" i="85" s="1"/>
  <c r="AV42" i="85" s="1"/>
  <c r="AA42" i="85"/>
  <c r="AK42" i="85" s="1"/>
  <c r="AU42" i="85" s="1"/>
  <c r="Z42" i="85"/>
  <c r="AJ42" i="85" s="1"/>
  <c r="AT42" i="85" s="1"/>
  <c r="Y42" i="85"/>
  <c r="AI42" i="85" s="1"/>
  <c r="AS42" i="85" s="1"/>
  <c r="X42" i="85"/>
  <c r="AH42" i="85" s="1"/>
  <c r="AR42" i="85" s="1"/>
  <c r="W42" i="85"/>
  <c r="AG42" i="85" s="1"/>
  <c r="AQ42" i="85" s="1"/>
  <c r="V42" i="85"/>
  <c r="U42" i="85"/>
  <c r="AE42" i="85" s="1"/>
  <c r="O42" i="85"/>
  <c r="AQ41" i="85"/>
  <c r="AN41" i="85"/>
  <c r="AX41" i="85" s="1"/>
  <c r="AF41" i="85"/>
  <c r="AP41" i="85" s="1"/>
  <c r="AE41" i="85"/>
  <c r="AO41" i="85" s="1"/>
  <c r="AD41" i="85"/>
  <c r="AC41" i="85"/>
  <c r="AM41" i="85" s="1"/>
  <c r="AW41" i="85" s="1"/>
  <c r="AB41" i="85"/>
  <c r="AL41" i="85" s="1"/>
  <c r="AV41" i="85" s="1"/>
  <c r="AA41" i="85"/>
  <c r="AK41" i="85" s="1"/>
  <c r="AU41" i="85" s="1"/>
  <c r="Z41" i="85"/>
  <c r="AJ41" i="85" s="1"/>
  <c r="AT41" i="85" s="1"/>
  <c r="Y41" i="85"/>
  <c r="AI41" i="85" s="1"/>
  <c r="AS41" i="85" s="1"/>
  <c r="X41" i="85"/>
  <c r="AH41" i="85" s="1"/>
  <c r="AR41" i="85" s="1"/>
  <c r="W41" i="85"/>
  <c r="AG41" i="85" s="1"/>
  <c r="V41" i="85"/>
  <c r="U41" i="85"/>
  <c r="O41" i="85"/>
  <c r="AQ40" i="85"/>
  <c r="AP40" i="85"/>
  <c r="AI40" i="85"/>
  <c r="AS40" i="85" s="1"/>
  <c r="AD40" i="85"/>
  <c r="AN40" i="85" s="1"/>
  <c r="AX40" i="85" s="1"/>
  <c r="AC40" i="85"/>
  <c r="AM40" i="85" s="1"/>
  <c r="AW40" i="85" s="1"/>
  <c r="AB40" i="85"/>
  <c r="AL40" i="85" s="1"/>
  <c r="AV40" i="85" s="1"/>
  <c r="AA40" i="85"/>
  <c r="AK40" i="85" s="1"/>
  <c r="AU40" i="85" s="1"/>
  <c r="Z40" i="85"/>
  <c r="Y40" i="85"/>
  <c r="X40" i="85"/>
  <c r="AH40" i="85" s="1"/>
  <c r="AR40" i="85" s="1"/>
  <c r="W40" i="85"/>
  <c r="AG40" i="85" s="1"/>
  <c r="V40" i="85"/>
  <c r="AF40" i="85" s="1"/>
  <c r="U40" i="85"/>
  <c r="AE40" i="85" s="1"/>
  <c r="AO40" i="85" s="1"/>
  <c r="O40" i="85"/>
  <c r="AF39" i="85"/>
  <c r="AP39" i="85" s="1"/>
  <c r="AE39" i="85"/>
  <c r="AO39" i="85" s="1"/>
  <c r="AD39" i="85"/>
  <c r="AN39" i="85" s="1"/>
  <c r="AX39" i="85" s="1"/>
  <c r="AC39" i="85"/>
  <c r="AM39" i="85" s="1"/>
  <c r="AW39" i="85" s="1"/>
  <c r="AB39" i="85"/>
  <c r="AL39" i="85" s="1"/>
  <c r="AV39" i="85" s="1"/>
  <c r="AA39" i="85"/>
  <c r="AK39" i="85" s="1"/>
  <c r="AU39" i="85" s="1"/>
  <c r="Z39" i="85"/>
  <c r="Y39" i="85"/>
  <c r="AI39" i="85" s="1"/>
  <c r="AS39" i="85" s="1"/>
  <c r="X39" i="85"/>
  <c r="AH39" i="85" s="1"/>
  <c r="AR39" i="85" s="1"/>
  <c r="W39" i="85"/>
  <c r="AG39" i="85" s="1"/>
  <c r="AQ39" i="85" s="1"/>
  <c r="V39" i="85"/>
  <c r="U39" i="85"/>
  <c r="O39" i="85"/>
  <c r="AN38" i="85"/>
  <c r="AX38" i="85" s="1"/>
  <c r="AM38" i="85"/>
  <c r="AW38" i="85" s="1"/>
  <c r="AD38" i="85"/>
  <c r="AC38" i="85"/>
  <c r="AB38" i="85"/>
  <c r="AL38" i="85" s="1"/>
  <c r="AV38" i="85" s="1"/>
  <c r="AA38" i="85"/>
  <c r="AK38" i="85" s="1"/>
  <c r="AU38" i="85" s="1"/>
  <c r="Z38" i="85"/>
  <c r="Y38" i="85"/>
  <c r="AI38" i="85" s="1"/>
  <c r="AS38" i="85" s="1"/>
  <c r="X38" i="85"/>
  <c r="AH38" i="85" s="1"/>
  <c r="AR38" i="85" s="1"/>
  <c r="W38" i="85"/>
  <c r="AG38" i="85" s="1"/>
  <c r="AQ38" i="85" s="1"/>
  <c r="V38" i="85"/>
  <c r="AF38" i="85" s="1"/>
  <c r="AP38" i="85" s="1"/>
  <c r="U38" i="85"/>
  <c r="AE38" i="85" s="1"/>
  <c r="AO38" i="85" s="1"/>
  <c r="O38" i="85"/>
  <c r="AX37" i="85"/>
  <c r="AW37" i="85"/>
  <c r="AT37" i="85"/>
  <c r="AD37" i="85"/>
  <c r="AN37" i="85" s="1"/>
  <c r="AC37" i="85"/>
  <c r="AM37" i="85" s="1"/>
  <c r="AB37" i="85"/>
  <c r="AL37" i="85" s="1"/>
  <c r="AV37" i="85" s="1"/>
  <c r="AA37" i="85"/>
  <c r="AK37" i="85" s="1"/>
  <c r="AU37" i="85" s="1"/>
  <c r="Z37" i="85"/>
  <c r="AJ37" i="85" s="1"/>
  <c r="Y37" i="85"/>
  <c r="X37" i="85"/>
  <c r="AH37" i="85" s="1"/>
  <c r="AR37" i="85" s="1"/>
  <c r="W37" i="85"/>
  <c r="AG37" i="85" s="1"/>
  <c r="AQ37" i="85" s="1"/>
  <c r="V37" i="85"/>
  <c r="AF37" i="85" s="1"/>
  <c r="AP37" i="85" s="1"/>
  <c r="U37" i="85"/>
  <c r="AE37" i="85" s="1"/>
  <c r="AO37" i="85" s="1"/>
  <c r="O37" i="85"/>
  <c r="AU36" i="85"/>
  <c r="AM36" i="85"/>
  <c r="AW36" i="85" s="1"/>
  <c r="AL36" i="85"/>
  <c r="AV36" i="85" s="1"/>
  <c r="AI36" i="85"/>
  <c r="AS36" i="85" s="1"/>
  <c r="AH36" i="85"/>
  <c r="AR36" i="85" s="1"/>
  <c r="AD36" i="85"/>
  <c r="AN36" i="85" s="1"/>
  <c r="AX36" i="85" s="1"/>
  <c r="AC36" i="85"/>
  <c r="AB36" i="85"/>
  <c r="AA36" i="85"/>
  <c r="AK36" i="85" s="1"/>
  <c r="Z36" i="85"/>
  <c r="AJ36" i="85" s="1"/>
  <c r="AT36" i="85" s="1"/>
  <c r="Y36" i="85"/>
  <c r="X36" i="85"/>
  <c r="W36" i="85"/>
  <c r="AG36" i="85" s="1"/>
  <c r="AQ36" i="85" s="1"/>
  <c r="V36" i="85"/>
  <c r="AF36" i="85" s="1"/>
  <c r="AP36" i="85" s="1"/>
  <c r="U36" i="85"/>
  <c r="AE36" i="85" s="1"/>
  <c r="AO36" i="85" s="1"/>
  <c r="O36" i="85"/>
  <c r="AP35" i="85"/>
  <c r="AL35" i="85"/>
  <c r="AV35" i="85" s="1"/>
  <c r="AI35" i="85"/>
  <c r="AS35" i="85" s="1"/>
  <c r="AD35" i="85"/>
  <c r="AN35" i="85" s="1"/>
  <c r="AX35" i="85" s="1"/>
  <c r="AC35" i="85"/>
  <c r="AM35" i="85" s="1"/>
  <c r="AW35" i="85" s="1"/>
  <c r="AB35" i="85"/>
  <c r="AA35" i="85"/>
  <c r="AK35" i="85" s="1"/>
  <c r="AU35" i="85" s="1"/>
  <c r="Z35" i="85"/>
  <c r="Y35" i="85"/>
  <c r="X35" i="85"/>
  <c r="AH35" i="85" s="1"/>
  <c r="AR35" i="85" s="1"/>
  <c r="W35" i="85"/>
  <c r="AG35" i="85" s="1"/>
  <c r="AQ35" i="85" s="1"/>
  <c r="V35" i="85"/>
  <c r="AF35" i="85" s="1"/>
  <c r="U35" i="85"/>
  <c r="AE35" i="85" s="1"/>
  <c r="AO35" i="85" s="1"/>
  <c r="O35" i="85"/>
  <c r="AN34" i="85"/>
  <c r="AX34" i="85" s="1"/>
  <c r="AM34" i="85"/>
  <c r="AW34" i="85" s="1"/>
  <c r="AL34" i="85"/>
  <c r="AV34" i="85" s="1"/>
  <c r="AD34" i="85"/>
  <c r="AC34" i="85"/>
  <c r="AB34" i="85"/>
  <c r="AA34" i="85"/>
  <c r="AK34" i="85" s="1"/>
  <c r="AU34" i="85" s="1"/>
  <c r="Z34" i="85"/>
  <c r="AJ34" i="85" s="1"/>
  <c r="AT34" i="85" s="1"/>
  <c r="Y34" i="85"/>
  <c r="X34" i="85"/>
  <c r="AH34" i="85" s="1"/>
  <c r="AR34" i="85" s="1"/>
  <c r="W34" i="85"/>
  <c r="AG34" i="85" s="1"/>
  <c r="AQ34" i="85" s="1"/>
  <c r="V34" i="85"/>
  <c r="AF34" i="85" s="1"/>
  <c r="AP34" i="85" s="1"/>
  <c r="U34" i="85"/>
  <c r="AE34" i="85" s="1"/>
  <c r="AO34" i="85" s="1"/>
  <c r="O34" i="85"/>
  <c r="AD33" i="85"/>
  <c r="AN33" i="85" s="1"/>
  <c r="AX33" i="85" s="1"/>
  <c r="AC33" i="85"/>
  <c r="AM33" i="85" s="1"/>
  <c r="AW33" i="85" s="1"/>
  <c r="AB33" i="85"/>
  <c r="AL33" i="85" s="1"/>
  <c r="AV33" i="85" s="1"/>
  <c r="AA33" i="85"/>
  <c r="AK33" i="85" s="1"/>
  <c r="AU33" i="85" s="1"/>
  <c r="Z33" i="85"/>
  <c r="Y33" i="85"/>
  <c r="AI33" i="85" s="1"/>
  <c r="AS33" i="85" s="1"/>
  <c r="X33" i="85"/>
  <c r="AH33" i="85" s="1"/>
  <c r="AR33" i="85" s="1"/>
  <c r="W33" i="85"/>
  <c r="AG33" i="85" s="1"/>
  <c r="AQ33" i="85" s="1"/>
  <c r="V33" i="85"/>
  <c r="AF33" i="85" s="1"/>
  <c r="AP33" i="85" s="1"/>
  <c r="U33" i="85"/>
  <c r="AE33" i="85" s="1"/>
  <c r="AO33" i="85" s="1"/>
  <c r="O33" i="85"/>
  <c r="AP32" i="85"/>
  <c r="AL32" i="85"/>
  <c r="AV32" i="85" s="1"/>
  <c r="AK32" i="85"/>
  <c r="AU32" i="85" s="1"/>
  <c r="AJ32" i="85"/>
  <c r="AT32" i="85" s="1"/>
  <c r="AI32" i="85"/>
  <c r="AS32" i="85" s="1"/>
  <c r="AH32" i="85"/>
  <c r="AR32" i="85" s="1"/>
  <c r="AE32" i="85"/>
  <c r="AO32" i="85" s="1"/>
  <c r="AD32" i="85"/>
  <c r="AN32" i="85" s="1"/>
  <c r="AX32" i="85" s="1"/>
  <c r="AC32" i="85"/>
  <c r="AM32" i="85" s="1"/>
  <c r="AW32" i="85" s="1"/>
  <c r="AB32" i="85"/>
  <c r="AA32" i="85"/>
  <c r="Z32" i="85"/>
  <c r="Y32" i="85"/>
  <c r="X32" i="85"/>
  <c r="W32" i="85"/>
  <c r="AG32" i="85" s="1"/>
  <c r="AQ32" i="85" s="1"/>
  <c r="V32" i="85"/>
  <c r="AF32" i="85" s="1"/>
  <c r="U32" i="85"/>
  <c r="O32" i="85"/>
  <c r="P47" i="85" s="1"/>
  <c r="AS31" i="85"/>
  <c r="AO31" i="85"/>
  <c r="AN31" i="85"/>
  <c r="AX31" i="85" s="1"/>
  <c r="AK31" i="85"/>
  <c r="AU31" i="85" s="1"/>
  <c r="AH31" i="85"/>
  <c r="AR31" i="85" s="1"/>
  <c r="AG31" i="85"/>
  <c r="AQ31" i="85" s="1"/>
  <c r="AD31" i="85"/>
  <c r="AC31" i="85"/>
  <c r="AM31" i="85" s="1"/>
  <c r="AW31" i="85" s="1"/>
  <c r="AB31" i="85"/>
  <c r="AL31" i="85" s="1"/>
  <c r="AV31" i="85" s="1"/>
  <c r="AA31" i="85"/>
  <c r="Z31" i="85"/>
  <c r="Y31" i="85"/>
  <c r="AI31" i="85" s="1"/>
  <c r="X31" i="85"/>
  <c r="W31" i="85"/>
  <c r="V31" i="85"/>
  <c r="AF31" i="85" s="1"/>
  <c r="AP31" i="85" s="1"/>
  <c r="U31" i="85"/>
  <c r="AE31" i="85" s="1"/>
  <c r="O31" i="85"/>
  <c r="O29" i="85"/>
  <c r="O28" i="85"/>
  <c r="O27" i="85"/>
  <c r="O26" i="85"/>
  <c r="A26" i="85"/>
  <c r="O25" i="85"/>
  <c r="O24" i="85"/>
  <c r="AT23" i="85"/>
  <c r="AR23" i="85"/>
  <c r="AN23" i="85"/>
  <c r="AX23" i="85" s="1"/>
  <c r="AK23" i="85"/>
  <c r="AU23" i="85" s="1"/>
  <c r="AJ23" i="85"/>
  <c r="AD23" i="85"/>
  <c r="AC23" i="85"/>
  <c r="AM23" i="85" s="1"/>
  <c r="AW23" i="85" s="1"/>
  <c r="AB23" i="85"/>
  <c r="AL23" i="85" s="1"/>
  <c r="AV23" i="85" s="1"/>
  <c r="AA23" i="85"/>
  <c r="Z23" i="85"/>
  <c r="Y23" i="85"/>
  <c r="AI23" i="85" s="1"/>
  <c r="AS23" i="85" s="1"/>
  <c r="X23" i="85"/>
  <c r="AH23" i="85" s="1"/>
  <c r="W23" i="85"/>
  <c r="AG23" i="85" s="1"/>
  <c r="AQ23" i="85" s="1"/>
  <c r="V23" i="85"/>
  <c r="AF23" i="85" s="1"/>
  <c r="AP23" i="85" s="1"/>
  <c r="U23" i="85"/>
  <c r="AE23" i="85" s="1"/>
  <c r="AO23" i="85" s="1"/>
  <c r="O23" i="85"/>
  <c r="A23" i="85"/>
  <c r="AD22" i="85"/>
  <c r="AN22" i="85" s="1"/>
  <c r="AX22" i="85" s="1"/>
  <c r="AC22" i="85"/>
  <c r="AM22" i="85" s="1"/>
  <c r="AW22" i="85" s="1"/>
  <c r="AB22" i="85"/>
  <c r="AL22" i="85" s="1"/>
  <c r="AV22" i="85" s="1"/>
  <c r="AA22" i="85"/>
  <c r="AK22" i="85" s="1"/>
  <c r="AU22" i="85" s="1"/>
  <c r="Z22" i="85"/>
  <c r="AJ22" i="85" s="1"/>
  <c r="AT22" i="85" s="1"/>
  <c r="Y22" i="85"/>
  <c r="AI22" i="85" s="1"/>
  <c r="AS22" i="85" s="1"/>
  <c r="X22" i="85"/>
  <c r="AH22" i="85" s="1"/>
  <c r="AR22" i="85" s="1"/>
  <c r="W22" i="85"/>
  <c r="AG22" i="85" s="1"/>
  <c r="AQ22" i="85" s="1"/>
  <c r="V22" i="85"/>
  <c r="AF22" i="85" s="1"/>
  <c r="AP22" i="85" s="1"/>
  <c r="U22" i="85"/>
  <c r="AE22" i="85" s="1"/>
  <c r="AO22" i="85" s="1"/>
  <c r="O22" i="85"/>
  <c r="AI21" i="85"/>
  <c r="AS21" i="85" s="1"/>
  <c r="AH21" i="85"/>
  <c r="AR21" i="85" s="1"/>
  <c r="AG21" i="85"/>
  <c r="AQ21" i="85" s="1"/>
  <c r="AF21" i="85"/>
  <c r="AP21" i="85" s="1"/>
  <c r="AE21" i="85"/>
  <c r="AO21" i="85" s="1"/>
  <c r="AD21" i="85"/>
  <c r="AN21" i="85" s="1"/>
  <c r="AX21" i="85" s="1"/>
  <c r="AC21" i="85"/>
  <c r="AM21" i="85" s="1"/>
  <c r="AW21" i="85" s="1"/>
  <c r="AB21" i="85"/>
  <c r="AL21" i="85" s="1"/>
  <c r="AV21" i="85" s="1"/>
  <c r="AA21" i="85"/>
  <c r="AK21" i="85" s="1"/>
  <c r="AU21" i="85" s="1"/>
  <c r="Z21" i="85"/>
  <c r="AJ21" i="85" s="1"/>
  <c r="AT21" i="85" s="1"/>
  <c r="Y21" i="85"/>
  <c r="X21" i="85"/>
  <c r="W21" i="85"/>
  <c r="V21" i="85"/>
  <c r="U21" i="85"/>
  <c r="O21" i="85"/>
  <c r="AW20" i="85"/>
  <c r="AR20" i="85"/>
  <c r="AO20" i="85"/>
  <c r="AL20" i="85"/>
  <c r="AV20" i="85" s="1"/>
  <c r="AG20" i="85"/>
  <c r="AQ20" i="85" s="1"/>
  <c r="AF20" i="85"/>
  <c r="AP20" i="85" s="1"/>
  <c r="AD20" i="85"/>
  <c r="AN20" i="85" s="1"/>
  <c r="AX20" i="85" s="1"/>
  <c r="AC20" i="85"/>
  <c r="AM20" i="85" s="1"/>
  <c r="AB20" i="85"/>
  <c r="AA20" i="85"/>
  <c r="AK20" i="85" s="1"/>
  <c r="AU20" i="85" s="1"/>
  <c r="Z20" i="85"/>
  <c r="Y20" i="85"/>
  <c r="AI20" i="85" s="1"/>
  <c r="AS20" i="85" s="1"/>
  <c r="X20" i="85"/>
  <c r="AH20" i="85" s="1"/>
  <c r="W20" i="85"/>
  <c r="V20" i="85"/>
  <c r="U20" i="85"/>
  <c r="AE20" i="85" s="1"/>
  <c r="O20" i="85"/>
  <c r="A20" i="85"/>
  <c r="AP19" i="85"/>
  <c r="AL19" i="85"/>
  <c r="AV19" i="85" s="1"/>
  <c r="AH19" i="85"/>
  <c r="AR19" i="85" s="1"/>
  <c r="AE19" i="85"/>
  <c r="AO19" i="85" s="1"/>
  <c r="AD19" i="85"/>
  <c r="AN19" i="85" s="1"/>
  <c r="AX19" i="85" s="1"/>
  <c r="AC19" i="85"/>
  <c r="AM19" i="85" s="1"/>
  <c r="AW19" i="85" s="1"/>
  <c r="AB19" i="85"/>
  <c r="AA19" i="85"/>
  <c r="AK19" i="85" s="1"/>
  <c r="AU19" i="85" s="1"/>
  <c r="Z19" i="85"/>
  <c r="AJ19" i="85" s="1"/>
  <c r="AT19" i="85" s="1"/>
  <c r="Y19" i="85"/>
  <c r="AI19" i="85" s="1"/>
  <c r="AS19" i="85" s="1"/>
  <c r="X19" i="85"/>
  <c r="W19" i="85"/>
  <c r="AG19" i="85" s="1"/>
  <c r="AQ19" i="85" s="1"/>
  <c r="V19" i="85"/>
  <c r="AF19" i="85" s="1"/>
  <c r="U19" i="85"/>
  <c r="O19" i="85"/>
  <c r="AE18" i="85"/>
  <c r="AO18" i="85" s="1"/>
  <c r="AD18" i="85"/>
  <c r="AN18" i="85" s="1"/>
  <c r="AX18" i="85" s="1"/>
  <c r="AC18" i="85"/>
  <c r="AM18" i="85" s="1"/>
  <c r="AW18" i="85" s="1"/>
  <c r="AB18" i="85"/>
  <c r="AL18" i="85" s="1"/>
  <c r="AV18" i="85" s="1"/>
  <c r="AA18" i="85"/>
  <c r="AK18" i="85" s="1"/>
  <c r="AU18" i="85" s="1"/>
  <c r="Z18" i="85"/>
  <c r="AJ18" i="85" s="1"/>
  <c r="AT18" i="85" s="1"/>
  <c r="Y18" i="85"/>
  <c r="AI18" i="85" s="1"/>
  <c r="AS18" i="85" s="1"/>
  <c r="X18" i="85"/>
  <c r="AH18" i="85" s="1"/>
  <c r="AR18" i="85" s="1"/>
  <c r="W18" i="85"/>
  <c r="AG18" i="85" s="1"/>
  <c r="AQ18" i="85" s="1"/>
  <c r="V18" i="85"/>
  <c r="AF18" i="85" s="1"/>
  <c r="AP18" i="85" s="1"/>
  <c r="U18" i="85"/>
  <c r="O18" i="85"/>
  <c r="AJ17" i="85"/>
  <c r="AT17" i="85" s="1"/>
  <c r="AI17" i="85"/>
  <c r="AS17" i="85" s="1"/>
  <c r="AF17" i="85"/>
  <c r="AP17" i="85" s="1"/>
  <c r="AE17" i="85"/>
  <c r="AO17" i="85" s="1"/>
  <c r="AD17" i="85"/>
  <c r="AN17" i="85" s="1"/>
  <c r="AX17" i="85" s="1"/>
  <c r="AC17" i="85"/>
  <c r="AM17" i="85" s="1"/>
  <c r="AW17" i="85" s="1"/>
  <c r="AB17" i="85"/>
  <c r="AL17" i="85" s="1"/>
  <c r="AV17" i="85" s="1"/>
  <c r="AA17" i="85"/>
  <c r="AK17" i="85" s="1"/>
  <c r="AU17" i="85" s="1"/>
  <c r="Z17" i="85"/>
  <c r="Y17" i="85"/>
  <c r="X17" i="85"/>
  <c r="AH17" i="85" s="1"/>
  <c r="AR17" i="85" s="1"/>
  <c r="W17" i="85"/>
  <c r="AG17" i="85" s="1"/>
  <c r="AQ17" i="85" s="1"/>
  <c r="V17" i="85"/>
  <c r="U17" i="85"/>
  <c r="O17" i="85"/>
  <c r="A17" i="85"/>
  <c r="AV16" i="85"/>
  <c r="AU16" i="85"/>
  <c r="AQ16" i="85"/>
  <c r="AF16" i="85"/>
  <c r="AP16" i="85" s="1"/>
  <c r="AD16" i="85"/>
  <c r="AN16" i="85" s="1"/>
  <c r="AX16" i="85" s="1"/>
  <c r="AC16" i="85"/>
  <c r="AM16" i="85" s="1"/>
  <c r="AW16" i="85" s="1"/>
  <c r="AB16" i="85"/>
  <c r="AL16" i="85" s="1"/>
  <c r="AA16" i="85"/>
  <c r="AK16" i="85" s="1"/>
  <c r="Z16" i="85"/>
  <c r="AJ16" i="85" s="1"/>
  <c r="AT16" i="85" s="1"/>
  <c r="Y16" i="85"/>
  <c r="X16" i="85"/>
  <c r="AH16" i="85" s="1"/>
  <c r="AR16" i="85" s="1"/>
  <c r="W16" i="85"/>
  <c r="AG16" i="85" s="1"/>
  <c r="V16" i="85"/>
  <c r="U16" i="85"/>
  <c r="AE16" i="85" s="1"/>
  <c r="AO16" i="85" s="1"/>
  <c r="O16" i="85"/>
  <c r="AH15" i="85"/>
  <c r="AR15" i="85" s="1"/>
  <c r="AF15" i="85"/>
  <c r="AP15" i="85" s="1"/>
  <c r="AE15" i="85"/>
  <c r="AO15" i="85" s="1"/>
  <c r="AD15" i="85"/>
  <c r="AN15" i="85" s="1"/>
  <c r="AX15" i="85" s="1"/>
  <c r="AC15" i="85"/>
  <c r="AM15" i="85" s="1"/>
  <c r="AW15" i="85" s="1"/>
  <c r="AB15" i="85"/>
  <c r="AL15" i="85" s="1"/>
  <c r="AV15" i="85" s="1"/>
  <c r="AA15" i="85"/>
  <c r="AK15" i="85" s="1"/>
  <c r="AU15" i="85" s="1"/>
  <c r="Z15" i="85"/>
  <c r="AJ15" i="85" s="1"/>
  <c r="AT15" i="85" s="1"/>
  <c r="Y15" i="85"/>
  <c r="X15" i="85"/>
  <c r="W15" i="85"/>
  <c r="AG15" i="85" s="1"/>
  <c r="AQ15" i="85" s="1"/>
  <c r="V15" i="85"/>
  <c r="U15" i="85"/>
  <c r="O15" i="85"/>
  <c r="AS14" i="85"/>
  <c r="AD14" i="85"/>
  <c r="AN14" i="85" s="1"/>
  <c r="AX14" i="85" s="1"/>
  <c r="AC14" i="85"/>
  <c r="AM14" i="85" s="1"/>
  <c r="AW14" i="85" s="1"/>
  <c r="AB14" i="85"/>
  <c r="AL14" i="85" s="1"/>
  <c r="AV14" i="85" s="1"/>
  <c r="AA14" i="85"/>
  <c r="AK14" i="85" s="1"/>
  <c r="AU14" i="85" s="1"/>
  <c r="Z14" i="85"/>
  <c r="AJ14" i="85" s="1"/>
  <c r="AT14" i="85" s="1"/>
  <c r="Y14" i="85"/>
  <c r="AI14" i="85" s="1"/>
  <c r="X14" i="85"/>
  <c r="AH14" i="85" s="1"/>
  <c r="AR14" i="85" s="1"/>
  <c r="W14" i="85"/>
  <c r="AG14" i="85" s="1"/>
  <c r="AQ14" i="85" s="1"/>
  <c r="V14" i="85"/>
  <c r="AF14" i="85" s="1"/>
  <c r="AP14" i="85" s="1"/>
  <c r="U14" i="85"/>
  <c r="AE14" i="85" s="1"/>
  <c r="AO14" i="85" s="1"/>
  <c r="O14" i="85"/>
  <c r="A14" i="85"/>
  <c r="AF13" i="85"/>
  <c r="AP13" i="85" s="1"/>
  <c r="AE13" i="85"/>
  <c r="AO13" i="85" s="1"/>
  <c r="AD13" i="85"/>
  <c r="AN13" i="85" s="1"/>
  <c r="AC13" i="85"/>
  <c r="AM13" i="85" s="1"/>
  <c r="AW13" i="85" s="1"/>
  <c r="AB13" i="85"/>
  <c r="AL13" i="85" s="1"/>
  <c r="AV13" i="85" s="1"/>
  <c r="AA13" i="85"/>
  <c r="AK13" i="85" s="1"/>
  <c r="Z13" i="85"/>
  <c r="AJ13" i="85" s="1"/>
  <c r="AT13" i="85" s="1"/>
  <c r="Y13" i="85"/>
  <c r="AI13" i="85" s="1"/>
  <c r="AS13" i="85" s="1"/>
  <c r="X13" i="85"/>
  <c r="AH13" i="85" s="1"/>
  <c r="W13" i="85"/>
  <c r="AG13" i="85" s="1"/>
  <c r="AQ13" i="85" s="1"/>
  <c r="V13" i="85"/>
  <c r="U13" i="85"/>
  <c r="O13" i="85"/>
  <c r="AX12" i="85"/>
  <c r="AU12" i="85"/>
  <c r="AG12" i="85"/>
  <c r="AQ12" i="85" s="1"/>
  <c r="AF12" i="85"/>
  <c r="AD12" i="85"/>
  <c r="AN12" i="85" s="1"/>
  <c r="AC12" i="85"/>
  <c r="AM12" i="85" s="1"/>
  <c r="AW12" i="85" s="1"/>
  <c r="AB12" i="85"/>
  <c r="AL12" i="85" s="1"/>
  <c r="AA12" i="85"/>
  <c r="AK12" i="85" s="1"/>
  <c r="Z12" i="85"/>
  <c r="AJ12" i="85" s="1"/>
  <c r="Y12" i="85"/>
  <c r="AI12" i="85" s="1"/>
  <c r="AS12" i="85" s="1"/>
  <c r="X12" i="85"/>
  <c r="AH12" i="85" s="1"/>
  <c r="AR12" i="85" s="1"/>
  <c r="W12" i="85"/>
  <c r="V12" i="85"/>
  <c r="U12" i="85"/>
  <c r="AE12" i="85" s="1"/>
  <c r="O12" i="85"/>
  <c r="N10" i="85"/>
  <c r="M10" i="85"/>
  <c r="L10" i="85"/>
  <c r="K10" i="85"/>
  <c r="J10" i="85"/>
  <c r="I10" i="85"/>
  <c r="H10" i="85"/>
  <c r="G10" i="85"/>
  <c r="F10" i="85"/>
  <c r="E10" i="85"/>
  <c r="E8" i="85" s="1"/>
  <c r="D10" i="85"/>
  <c r="D8" i="85" s="1"/>
  <c r="C10" i="85"/>
  <c r="C8" i="85" s="1"/>
  <c r="A9" i="85"/>
  <c r="A10" i="85" s="1"/>
  <c r="F8" i="85"/>
  <c r="D7" i="85"/>
  <c r="E7" i="85" s="1"/>
  <c r="F7" i="85" s="1"/>
  <c r="G7" i="85" s="1"/>
  <c r="H7" i="85" s="1"/>
  <c r="I7" i="85" s="1"/>
  <c r="J7" i="85" s="1"/>
  <c r="K7" i="85" s="1"/>
  <c r="L7" i="85" s="1"/>
  <c r="M7" i="85" s="1"/>
  <c r="N7" i="85" s="1"/>
  <c r="AW6" i="85"/>
  <c r="AW1" i="85" s="1"/>
  <c r="AV6" i="85"/>
  <c r="AV1" i="85" s="1"/>
  <c r="AN6" i="85"/>
  <c r="AX6" i="85" s="1"/>
  <c r="AX1" i="85" s="1"/>
  <c r="AM6" i="85"/>
  <c r="AL6" i="85"/>
  <c r="AK6" i="85"/>
  <c r="AJ6" i="85"/>
  <c r="AJ158" i="85" s="1"/>
  <c r="AT158" i="85" s="1"/>
  <c r="AI6" i="85"/>
  <c r="AI158" i="85" s="1"/>
  <c r="AS158" i="85" s="1"/>
  <c r="AH6" i="85"/>
  <c r="AH65" i="85" s="1"/>
  <c r="AG6" i="85"/>
  <c r="AQ6" i="85" s="1"/>
  <c r="AQ1" i="85" s="1"/>
  <c r="AF6" i="85"/>
  <c r="AP6" i="85" s="1"/>
  <c r="AP1" i="85" s="1"/>
  <c r="AE6" i="85"/>
  <c r="AO6" i="85" s="1"/>
  <c r="AO1" i="85" s="1"/>
  <c r="E6" i="85"/>
  <c r="F6" i="85" s="1"/>
  <c r="G6" i="85" s="1"/>
  <c r="H6" i="85" s="1"/>
  <c r="I6" i="85" s="1"/>
  <c r="J6" i="85" s="1"/>
  <c r="K6" i="85" s="1"/>
  <c r="L6" i="85" s="1"/>
  <c r="M6" i="85" s="1"/>
  <c r="N6" i="85" s="1"/>
  <c r="AG85" i="85" l="1"/>
  <c r="AQ85" i="85" s="1"/>
  <c r="AG140" i="85"/>
  <c r="J171" i="85"/>
  <c r="AU6" i="85"/>
  <c r="AU1" i="85" s="1"/>
  <c r="AK158" i="85"/>
  <c r="AU158" i="85" s="1"/>
  <c r="O49" i="85"/>
  <c r="AG84" i="85"/>
  <c r="AQ84" i="85" s="1"/>
  <c r="AF83" i="85"/>
  <c r="AP83" i="85" s="1"/>
  <c r="I171" i="85"/>
  <c r="AT6" i="85"/>
  <c r="AT1" i="85" s="1"/>
  <c r="AJ38" i="85"/>
  <c r="AT38" i="85" s="1"/>
  <c r="AG139" i="85"/>
  <c r="AH96" i="85"/>
  <c r="AR96" i="85" s="1"/>
  <c r="O136" i="85"/>
  <c r="AG137" i="85"/>
  <c r="AH94" i="85"/>
  <c r="AR94" i="85" s="1"/>
  <c r="AJ46" i="85"/>
  <c r="AT46" i="85" s="1"/>
  <c r="AI34" i="85"/>
  <c r="AS34" i="85" s="1"/>
  <c r="AH87" i="85"/>
  <c r="AR87" i="85" s="1"/>
  <c r="AH128" i="85"/>
  <c r="AR128" i="85" s="1"/>
  <c r="AG138" i="85"/>
  <c r="O64" i="85"/>
  <c r="J81" i="85"/>
  <c r="K81" i="85"/>
  <c r="K8" i="85" s="1"/>
  <c r="AI127" i="85"/>
  <c r="AS127" i="85" s="1"/>
  <c r="L8" i="85"/>
  <c r="AJ33" i="85"/>
  <c r="AT33" i="85" s="1"/>
  <c r="AH160" i="85"/>
  <c r="AR160" i="85" s="1"/>
  <c r="I8" i="85"/>
  <c r="AJ43" i="85"/>
  <c r="AT43" i="85" s="1"/>
  <c r="AH66" i="85"/>
  <c r="AR66" i="85" s="1"/>
  <c r="AH99" i="85"/>
  <c r="AR99" i="85" s="1"/>
  <c r="AH102" i="85"/>
  <c r="AR102" i="85" s="1"/>
  <c r="AH126" i="85"/>
  <c r="AR126" i="85" s="1"/>
  <c r="H171" i="85"/>
  <c r="O171" i="85" s="1"/>
  <c r="I28" i="78"/>
  <c r="G31" i="78"/>
  <c r="J8" i="85"/>
  <c r="AV67" i="85"/>
  <c r="AV2" i="85" s="1"/>
  <c r="L170" i="85"/>
  <c r="AR13" i="85"/>
  <c r="AR65" i="85"/>
  <c r="AU153" i="85"/>
  <c r="AU68" i="85"/>
  <c r="K170" i="85"/>
  <c r="AO2" i="85"/>
  <c r="AO12" i="85"/>
  <c r="AX152" i="85"/>
  <c r="N172" i="85"/>
  <c r="O10" i="85"/>
  <c r="G8" i="85"/>
  <c r="AI152" i="85"/>
  <c r="AI153" i="85"/>
  <c r="AS153" i="85" s="1"/>
  <c r="AI107" i="85"/>
  <c r="AS107" i="85" s="1"/>
  <c r="AI160" i="85"/>
  <c r="AS160" i="85" s="1"/>
  <c r="AI118" i="85"/>
  <c r="AS118" i="85" s="1"/>
  <c r="AI154" i="85"/>
  <c r="AS154" i="85" s="1"/>
  <c r="AI68" i="85"/>
  <c r="AS68" i="85" s="1"/>
  <c r="AI115" i="85"/>
  <c r="AS115" i="85" s="1"/>
  <c r="AP12" i="85"/>
  <c r="AP2" i="85" s="1"/>
  <c r="AJ160" i="85"/>
  <c r="AT160" i="85" s="1"/>
  <c r="AJ128" i="85"/>
  <c r="AT128" i="85" s="1"/>
  <c r="AJ69" i="85"/>
  <c r="AT69" i="85" s="1"/>
  <c r="AJ40" i="85"/>
  <c r="AT40" i="85" s="1"/>
  <c r="AJ131" i="85"/>
  <c r="AT131" i="85" s="1"/>
  <c r="AV12" i="85"/>
  <c r="AJ123" i="85"/>
  <c r="AT123" i="85" s="1"/>
  <c r="K173" i="85"/>
  <c r="O151" i="85"/>
  <c r="AI114" i="85"/>
  <c r="AS114" i="85" s="1"/>
  <c r="L173" i="85"/>
  <c r="AT152" i="85"/>
  <c r="L172" i="85"/>
  <c r="AV152" i="85"/>
  <c r="H81" i="85"/>
  <c r="O82" i="85"/>
  <c r="AI16" i="85"/>
  <c r="AS16" i="85" s="1"/>
  <c r="M81" i="85"/>
  <c r="M8" i="85" s="1"/>
  <c r="N81" i="85"/>
  <c r="N169" i="85" s="1"/>
  <c r="H173" i="85"/>
  <c r="AK52" i="85"/>
  <c r="AU52" i="85" s="1"/>
  <c r="AT12" i="85"/>
  <c r="AK50" i="85"/>
  <c r="AU50" i="85" s="1"/>
  <c r="AM54" i="85"/>
  <c r="AW54" i="85" s="1"/>
  <c r="AJ122" i="85"/>
  <c r="AT122" i="85" s="1"/>
  <c r="J173" i="85"/>
  <c r="AU13" i="85"/>
  <c r="AJ35" i="85"/>
  <c r="AT35" i="85" s="1"/>
  <c r="AJ39" i="85"/>
  <c r="AT39" i="85" s="1"/>
  <c r="M170" i="85"/>
  <c r="AI70" i="85"/>
  <c r="AS70" i="85" s="1"/>
  <c r="AI106" i="85"/>
  <c r="AS106" i="85" s="1"/>
  <c r="AI113" i="85"/>
  <c r="AS113" i="85" s="1"/>
  <c r="AK132" i="85"/>
  <c r="AU132" i="85" s="1"/>
  <c r="M173" i="85"/>
  <c r="AI37" i="85"/>
  <c r="AS37" i="85" s="1"/>
  <c r="N173" i="85"/>
  <c r="AI116" i="85"/>
  <c r="AS116" i="85" s="1"/>
  <c r="AJ154" i="85"/>
  <c r="AT154" i="85" s="1"/>
  <c r="AL53" i="85"/>
  <c r="AV53" i="85" s="1"/>
  <c r="AT65" i="85"/>
  <c r="AJ31" i="85"/>
  <c r="AT31" i="85" s="1"/>
  <c r="N170" i="85"/>
  <c r="AI69" i="85"/>
  <c r="AS69" i="85" s="1"/>
  <c r="AI121" i="85"/>
  <c r="AS121" i="85" s="1"/>
  <c r="O130" i="85"/>
  <c r="AI143" i="85"/>
  <c r="I173" i="85" s="1"/>
  <c r="AS6" i="85"/>
  <c r="AS1" i="85" s="1"/>
  <c r="AX13" i="85"/>
  <c r="AX2" i="85" s="1"/>
  <c r="AI15" i="85"/>
  <c r="AS15" i="85" s="1"/>
  <c r="AI45" i="85"/>
  <c r="AS45" i="85" s="1"/>
  <c r="AI66" i="85"/>
  <c r="AS66" i="85" s="1"/>
  <c r="AI105" i="85"/>
  <c r="AS105" i="85" s="1"/>
  <c r="AI128" i="85"/>
  <c r="AS128" i="85" s="1"/>
  <c r="AK144" i="85"/>
  <c r="M172" i="85"/>
  <c r="AW152" i="85"/>
  <c r="AK160" i="85"/>
  <c r="AU160" i="85" s="1"/>
  <c r="AJ20" i="85"/>
  <c r="AT20" i="85" s="1"/>
  <c r="AH67" i="85"/>
  <c r="AR67" i="85" s="1"/>
  <c r="AG86" i="85"/>
  <c r="AQ86" i="85" s="1"/>
  <c r="AG156" i="85"/>
  <c r="AQ156" i="85" s="1"/>
  <c r="AJ44" i="85"/>
  <c r="AT44" i="85" s="1"/>
  <c r="AK51" i="85"/>
  <c r="AU51" i="85" s="1"/>
  <c r="AH68" i="85"/>
  <c r="AR68" i="85" s="1"/>
  <c r="AH155" i="85"/>
  <c r="AR155" i="85" s="1"/>
  <c r="AH127" i="85"/>
  <c r="AR127" i="85" s="1"/>
  <c r="AH152" i="85"/>
  <c r="AH153" i="85"/>
  <c r="AR153" i="85" s="1"/>
  <c r="AH95" i="85"/>
  <c r="AR95" i="85" s="1"/>
  <c r="AH154" i="85"/>
  <c r="AR154" i="85" s="1"/>
  <c r="AH69" i="85"/>
  <c r="AR69" i="85" s="1"/>
  <c r="AR6" i="85"/>
  <c r="AR1" i="85" s="1"/>
  <c r="AH70" i="85"/>
  <c r="AR70" i="85" s="1"/>
  <c r="L168" i="85"/>
  <c r="AG157" i="85"/>
  <c r="AQ157" i="85" s="1"/>
  <c r="AI117" i="85"/>
  <c r="AS117" i="85" s="1"/>
  <c r="AI108" i="85"/>
  <c r="AS108" i="85" s="1"/>
  <c r="AG142" i="85"/>
  <c r="AG141" i="85"/>
  <c r="F29" i="81"/>
  <c r="G29" i="81"/>
  <c r="H29" i="81"/>
  <c r="E29" i="81"/>
  <c r="AU2" i="85" l="1"/>
  <c r="AW2" i="85"/>
  <c r="K172" i="85"/>
  <c r="J168" i="85"/>
  <c r="H172" i="85"/>
  <c r="AR152" i="85"/>
  <c r="O81" i="85"/>
  <c r="J172" i="85"/>
  <c r="H170" i="85"/>
  <c r="H168" i="85"/>
  <c r="I169" i="85"/>
  <c r="N168" i="85"/>
  <c r="N174" i="85" s="1"/>
  <c r="J170" i="85"/>
  <c r="J174" i="85" s="1"/>
  <c r="I172" i="85"/>
  <c r="AS152" i="85"/>
  <c r="I168" i="85"/>
  <c r="I174" i="85" s="1"/>
  <c r="AQ2" i="85"/>
  <c r="I170" i="85"/>
  <c r="AS2" i="85"/>
  <c r="M168" i="85"/>
  <c r="K169" i="85"/>
  <c r="H169" i="85"/>
  <c r="J169" i="85"/>
  <c r="L169" i="85"/>
  <c r="L174" i="85" s="1"/>
  <c r="M169" i="85"/>
  <c r="K168" i="85"/>
  <c r="N8" i="85"/>
  <c r="AR2" i="85"/>
  <c r="O173" i="85"/>
  <c r="H8" i="85"/>
  <c r="O8" i="85" s="1"/>
  <c r="AT2" i="85"/>
  <c r="X41" i="1"/>
  <c r="U41" i="1"/>
  <c r="O41" i="1"/>
  <c r="I41" i="1"/>
  <c r="F41" i="1"/>
  <c r="E60" i="1"/>
  <c r="D24" i="62" l="1"/>
  <c r="D24" i="63" s="1"/>
  <c r="D24" i="61" s="1"/>
  <c r="E20" i="1"/>
  <c r="O169" i="85"/>
  <c r="M174" i="85"/>
  <c r="H174" i="85"/>
  <c r="O170" i="85"/>
  <c r="K174" i="85"/>
  <c r="O172" i="85"/>
  <c r="C24" i="13" l="1"/>
  <c r="E24" i="13" l="1"/>
  <c r="I24" i="13" s="1"/>
  <c r="C24" i="62"/>
  <c r="F24" i="13" l="1"/>
  <c r="H24" i="13"/>
  <c r="G24" i="13"/>
  <c r="E24" i="62"/>
  <c r="C24" i="63"/>
  <c r="E61" i="78"/>
  <c r="K24" i="13" l="1"/>
  <c r="C28" i="48" s="1"/>
  <c r="E24" i="63"/>
  <c r="C24" i="61"/>
  <c r="E24" i="61" s="1"/>
  <c r="F75" i="20"/>
  <c r="C41" i="1" l="1"/>
  <c r="R41" i="1"/>
  <c r="L41" i="1"/>
  <c r="N31" i="1" l="1"/>
  <c r="F76" i="20" l="1"/>
  <c r="F25" i="20"/>
  <c r="E36" i="20"/>
  <c r="E35" i="20"/>
  <c r="E34" i="20"/>
  <c r="E33" i="20"/>
  <c r="E10" i="20"/>
  <c r="F26" i="20" l="1"/>
  <c r="E55" i="20"/>
  <c r="F55" i="20" s="1"/>
  <c r="E54" i="20"/>
  <c r="F54" i="20" s="1"/>
  <c r="E24" i="68" l="1"/>
  <c r="F24" i="68"/>
  <c r="G24" i="68"/>
  <c r="D24" i="68"/>
  <c r="B26" i="68"/>
  <c r="C5" i="52" l="1"/>
  <c r="T88" i="78"/>
  <c r="T89" i="78"/>
  <c r="T90" i="78"/>
  <c r="T87" i="78"/>
  <c r="T74" i="78"/>
  <c r="T73" i="78"/>
  <c r="R75" i="78"/>
  <c r="Q68" i="78"/>
  <c r="R68" i="78"/>
  <c r="S68" i="78"/>
  <c r="P68" i="78"/>
  <c r="T65" i="78"/>
  <c r="T64" i="78"/>
  <c r="T63" i="78"/>
  <c r="T62" i="78"/>
  <c r="T67" i="78"/>
  <c r="T61" i="78"/>
  <c r="T56" i="78"/>
  <c r="T54" i="78"/>
  <c r="T55" i="78"/>
  <c r="T53" i="78"/>
  <c r="S57" i="78"/>
  <c r="Q57" i="78"/>
  <c r="S45" i="78"/>
  <c r="R45" i="78"/>
  <c r="J42" i="78"/>
  <c r="J43" i="78"/>
  <c r="J44" i="78"/>
  <c r="J45" i="78"/>
  <c r="J46" i="78"/>
  <c r="J47" i="78"/>
  <c r="J48" i="78"/>
  <c r="I43" i="78"/>
  <c r="I44" i="78"/>
  <c r="I45" i="78"/>
  <c r="I46" i="78"/>
  <c r="I47" i="78"/>
  <c r="I48" i="78"/>
  <c r="I49" i="78"/>
  <c r="I40" i="78"/>
  <c r="D50" i="78"/>
  <c r="E50" i="78"/>
  <c r="F50" i="78"/>
  <c r="C62" i="78" s="1"/>
  <c r="G50" i="78"/>
  <c r="D62" i="78" s="1"/>
  <c r="C50" i="78"/>
  <c r="I31" i="78"/>
  <c r="H31" i="78"/>
  <c r="F37" i="78"/>
  <c r="D63" i="78" s="1"/>
  <c r="C37" i="78"/>
  <c r="T68" i="78" l="1"/>
  <c r="T45" i="78"/>
  <c r="D61" i="78" l="1"/>
  <c r="F61" i="78" s="1"/>
  <c r="I11" i="78" l="1"/>
  <c r="H11" i="78"/>
  <c r="C3" i="68" l="1"/>
  <c r="C7" i="52"/>
  <c r="C2" i="68" s="1"/>
  <c r="F12" i="68" l="1"/>
  <c r="D12" i="68"/>
  <c r="E12" i="68"/>
  <c r="E13" i="68" l="1"/>
  <c r="D13" i="68" l="1"/>
  <c r="E17" i="81" l="1"/>
  <c r="E22" i="81"/>
  <c r="H17" i="81" l="1"/>
  <c r="H22" i="81"/>
  <c r="G17" i="81"/>
  <c r="G22" i="81"/>
  <c r="F17" i="81"/>
  <c r="F22" i="81"/>
  <c r="E49" i="82"/>
  <c r="G51" i="82"/>
  <c r="F51" i="82"/>
  <c r="E51" i="82"/>
  <c r="G50" i="82"/>
  <c r="F50" i="82"/>
  <c r="E50" i="82"/>
  <c r="G49" i="82"/>
  <c r="F49" i="82"/>
  <c r="G48" i="82"/>
  <c r="F48" i="82"/>
  <c r="E48" i="82"/>
  <c r="I9" i="82"/>
  <c r="I16" i="82" s="1"/>
  <c r="D28" i="81"/>
  <c r="C23" i="81"/>
  <c r="B22" i="81"/>
  <c r="C20" i="81"/>
  <c r="B20" i="81"/>
  <c r="C19" i="81"/>
  <c r="B19" i="81"/>
  <c r="C18" i="81"/>
  <c r="B18" i="81"/>
  <c r="B17" i="81"/>
  <c r="C16" i="81"/>
  <c r="B16" i="81"/>
  <c r="C15" i="81"/>
  <c r="B15" i="81"/>
  <c r="C14" i="81"/>
  <c r="B14" i="81"/>
  <c r="C13" i="81"/>
  <c r="B13" i="81"/>
  <c r="C12" i="81"/>
  <c r="B12" i="81"/>
  <c r="B11" i="81"/>
  <c r="D17" i="81" l="1"/>
  <c r="D22" i="81"/>
  <c r="J16" i="82"/>
  <c r="I23" i="82"/>
  <c r="J9" i="82"/>
  <c r="J23" i="82" l="1"/>
  <c r="I29" i="82"/>
  <c r="J29" i="82" l="1"/>
  <c r="I36" i="82"/>
  <c r="I43" i="82" l="1"/>
  <c r="J43" i="82" s="1"/>
  <c r="J36" i="82"/>
  <c r="J51" i="82" l="1"/>
  <c r="G65" i="1"/>
  <c r="G64" i="1"/>
  <c r="G63" i="1"/>
  <c r="G62" i="1"/>
  <c r="D21" i="68"/>
  <c r="D25" i="68" s="1"/>
  <c r="H10" i="62" l="1"/>
  <c r="I10" i="62"/>
  <c r="C6" i="52"/>
  <c r="E3" i="68"/>
  <c r="E2" i="68"/>
  <c r="G21" i="68"/>
  <c r="G25" i="68" s="1"/>
  <c r="F21" i="68"/>
  <c r="F25" i="68" s="1"/>
  <c r="I24" i="62" l="1"/>
  <c r="H24" i="62"/>
  <c r="F10" i="62"/>
  <c r="G10" i="62"/>
  <c r="I10" i="63"/>
  <c r="H10" i="63"/>
  <c r="F10" i="68"/>
  <c r="E10" i="68"/>
  <c r="F11" i="68"/>
  <c r="E11" i="68"/>
  <c r="E21" i="68"/>
  <c r="E25" i="68" s="1"/>
  <c r="H25" i="68" s="1"/>
  <c r="D11" i="68"/>
  <c r="D15" i="68" s="1"/>
  <c r="D18" i="68" s="1"/>
  <c r="I24" i="63" l="1"/>
  <c r="H24" i="63"/>
  <c r="G24" i="62"/>
  <c r="F24" i="62"/>
  <c r="H10" i="61"/>
  <c r="H24" i="61" s="1"/>
  <c r="E15" i="68"/>
  <c r="I10" i="61"/>
  <c r="I24" i="61" s="1"/>
  <c r="G10" i="63"/>
  <c r="F10" i="63"/>
  <c r="F35" i="20"/>
  <c r="F34" i="20"/>
  <c r="Q91" i="78"/>
  <c r="C60" i="78" s="1"/>
  <c r="E22" i="20"/>
  <c r="E50" i="20" s="1"/>
  <c r="E17" i="20"/>
  <c r="E13" i="20"/>
  <c r="E12" i="20"/>
  <c r="E60" i="20" s="1"/>
  <c r="D141" i="78"/>
  <c r="D140" i="78"/>
  <c r="D60" i="78"/>
  <c r="S75" i="78"/>
  <c r="Q75" i="78"/>
  <c r="Q77" i="78" s="1"/>
  <c r="C59" i="78" s="1"/>
  <c r="P75" i="78"/>
  <c r="R57" i="78"/>
  <c r="E37" i="78"/>
  <c r="D37" i="78"/>
  <c r="H36" i="78"/>
  <c r="H35" i="78"/>
  <c r="H34" i="78"/>
  <c r="C28" i="78"/>
  <c r="K24" i="62" l="1"/>
  <c r="E28" i="48" s="1"/>
  <c r="F24" i="63"/>
  <c r="G24" i="63"/>
  <c r="D19" i="68"/>
  <c r="D20" i="68" s="1"/>
  <c r="D22" i="68" s="1"/>
  <c r="D26" i="68" s="1"/>
  <c r="E18" i="68"/>
  <c r="F24" i="20"/>
  <c r="E39" i="20"/>
  <c r="T91" i="78"/>
  <c r="E60" i="78"/>
  <c r="F60" i="78" s="1"/>
  <c r="C61" i="78"/>
  <c r="F10" i="61"/>
  <c r="F24" i="61" s="1"/>
  <c r="G10" i="61"/>
  <c r="G24" i="61" s="1"/>
  <c r="C63" i="78"/>
  <c r="T57" i="78"/>
  <c r="R77" i="78"/>
  <c r="D59" i="78" s="1"/>
  <c r="T75" i="78"/>
  <c r="S77" i="78"/>
  <c r="S93" i="78" s="1"/>
  <c r="H50" i="78"/>
  <c r="I15" i="78"/>
  <c r="H15" i="78"/>
  <c r="I20" i="78"/>
  <c r="H20" i="78"/>
  <c r="I16" i="78"/>
  <c r="H16" i="78"/>
  <c r="I17" i="78"/>
  <c r="H17" i="78"/>
  <c r="I25" i="78"/>
  <c r="H25" i="78"/>
  <c r="I18" i="78"/>
  <c r="H18" i="78"/>
  <c r="I24" i="78"/>
  <c r="H24" i="78"/>
  <c r="I21" i="78"/>
  <c r="H21" i="78"/>
  <c r="I22" i="78"/>
  <c r="H22" i="78"/>
  <c r="I23" i="78"/>
  <c r="H23" i="78"/>
  <c r="I13" i="78"/>
  <c r="H13" i="78"/>
  <c r="I19" i="78"/>
  <c r="H19" i="78"/>
  <c r="I12" i="78"/>
  <c r="H12" i="78"/>
  <c r="I14" i="78"/>
  <c r="H14" i="78"/>
  <c r="G37" i="78"/>
  <c r="I37" i="78" s="1"/>
  <c r="D142" i="78"/>
  <c r="D74" i="75"/>
  <c r="E66" i="20"/>
  <c r="K24" i="63" l="1"/>
  <c r="G28" i="48" s="1"/>
  <c r="E63" i="78"/>
  <c r="F63" i="78" s="1"/>
  <c r="H37" i="78"/>
  <c r="C64" i="78"/>
  <c r="D64" i="78"/>
  <c r="D103" i="78"/>
  <c r="D104" i="78" s="1"/>
  <c r="E59" i="78"/>
  <c r="J50" i="78"/>
  <c r="E62" i="78"/>
  <c r="F62" i="78" s="1"/>
  <c r="T77" i="78"/>
  <c r="I50" i="78"/>
  <c r="D107" i="78"/>
  <c r="H28" i="78"/>
  <c r="D145" i="78"/>
  <c r="D146" i="78"/>
  <c r="D108" i="78"/>
  <c r="D147" i="78"/>
  <c r="D109" i="78"/>
  <c r="D144" i="78"/>
  <c r="D106" i="78"/>
  <c r="D111" i="78" l="1"/>
  <c r="D65" i="78"/>
  <c r="E64" i="78"/>
  <c r="E65" i="78" s="1"/>
  <c r="F59" i="78"/>
  <c r="D22" i="62"/>
  <c r="B45" i="20"/>
  <c r="B51" i="20"/>
  <c r="E68" i="20"/>
  <c r="E59" i="20"/>
  <c r="B43" i="20"/>
  <c r="G76" i="66"/>
  <c r="G75" i="66"/>
  <c r="G74" i="66"/>
  <c r="G73" i="66"/>
  <c r="H73" i="66"/>
  <c r="E66" i="77"/>
  <c r="E40" i="77"/>
  <c r="E39" i="77"/>
  <c r="E38" i="77"/>
  <c r="E37" i="77"/>
  <c r="E36" i="77"/>
  <c r="E35" i="77"/>
  <c r="E34" i="77"/>
  <c r="E33" i="77"/>
  <c r="E32" i="77"/>
  <c r="E30" i="77"/>
  <c r="E29" i="77"/>
  <c r="E28" i="77"/>
  <c r="E27" i="77"/>
  <c r="G68" i="77" s="1"/>
  <c r="E26" i="77"/>
  <c r="E25" i="77"/>
  <c r="E24" i="77"/>
  <c r="E23" i="77"/>
  <c r="E22" i="77"/>
  <c r="E21" i="77"/>
  <c r="E20" i="77"/>
  <c r="E19" i="77"/>
  <c r="E18" i="77"/>
  <c r="E17" i="77"/>
  <c r="E16" i="77"/>
  <c r="E15" i="77"/>
  <c r="E14" i="77"/>
  <c r="E13" i="77"/>
  <c r="E12" i="77"/>
  <c r="E11" i="77"/>
  <c r="E10" i="77"/>
  <c r="E9" i="77"/>
  <c r="E8" i="77"/>
  <c r="E7" i="77"/>
  <c r="E6" i="77"/>
  <c r="E5" i="77"/>
  <c r="A4" i="77"/>
  <c r="A5" i="77" s="1"/>
  <c r="A6" i="77" s="1"/>
  <c r="A7" i="77" s="1"/>
  <c r="A8" i="77" s="1"/>
  <c r="A9" i="77" s="1"/>
  <c r="A10" i="77" s="1"/>
  <c r="A11" i="77" s="1"/>
  <c r="A12" i="77" s="1"/>
  <c r="A13" i="77" s="1"/>
  <c r="A14" i="77" s="1"/>
  <c r="A15" i="77" s="1"/>
  <c r="A16" i="77" s="1"/>
  <c r="A17" i="77" s="1"/>
  <c r="A18" i="77" s="1"/>
  <c r="A19" i="77" s="1"/>
  <c r="A20" i="77" s="1"/>
  <c r="A21" i="77" s="1"/>
  <c r="A22" i="77" s="1"/>
  <c r="A23" i="77" s="1"/>
  <c r="A24" i="77" s="1"/>
  <c r="A25" i="77" s="1"/>
  <c r="A26" i="77" s="1"/>
  <c r="A27" i="77" s="1"/>
  <c r="A28" i="77" s="1"/>
  <c r="A29" i="77" s="1"/>
  <c r="A30" i="77" s="1"/>
  <c r="A31" i="77" s="1"/>
  <c r="A32" i="77" s="1"/>
  <c r="A33" i="77" s="1"/>
  <c r="A34" i="77" s="1"/>
  <c r="A35" i="77" s="1"/>
  <c r="A36" i="77" s="1"/>
  <c r="A37" i="77" s="1"/>
  <c r="A38" i="77" s="1"/>
  <c r="A39" i="77" s="1"/>
  <c r="A40" i="77" s="1"/>
  <c r="A45" i="77" s="1"/>
  <c r="A46" i="77" s="1"/>
  <c r="A47" i="77" s="1"/>
  <c r="A48" i="77" s="1"/>
  <c r="A49" i="77" s="1"/>
  <c r="A50" i="77" s="1"/>
  <c r="A54" i="77" s="1"/>
  <c r="A55" i="77" s="1"/>
  <c r="A59" i="77" s="1"/>
  <c r="A60" i="77" s="1"/>
  <c r="A61" i="77" s="1"/>
  <c r="A62" i="77" s="1"/>
  <c r="A63" i="77" s="1"/>
  <c r="A64" i="77" s="1"/>
  <c r="A65" i="77" s="1"/>
  <c r="A66" i="77" s="1"/>
  <c r="E3" i="77"/>
  <c r="E40" i="76"/>
  <c r="E39" i="76"/>
  <c r="E38" i="76"/>
  <c r="E37" i="76"/>
  <c r="E36" i="76"/>
  <c r="E35" i="76"/>
  <c r="E34" i="76"/>
  <c r="E33" i="76"/>
  <c r="E32" i="76"/>
  <c r="E30" i="76"/>
  <c r="E29" i="76"/>
  <c r="E28" i="76"/>
  <c r="E27" i="76"/>
  <c r="E26" i="76"/>
  <c r="E25" i="76"/>
  <c r="H71" i="76" s="1"/>
  <c r="H76" i="76" s="1"/>
  <c r="E24" i="76"/>
  <c r="E23" i="76"/>
  <c r="E22" i="76"/>
  <c r="E21" i="76"/>
  <c r="E20" i="76"/>
  <c r="E19" i="76"/>
  <c r="E18" i="76"/>
  <c r="E17" i="76"/>
  <c r="E16" i="76"/>
  <c r="E15" i="76"/>
  <c r="E14" i="76"/>
  <c r="E13" i="76"/>
  <c r="E12" i="76"/>
  <c r="E11" i="76"/>
  <c r="E10" i="76"/>
  <c r="E9" i="76"/>
  <c r="E8" i="76"/>
  <c r="E7" i="76"/>
  <c r="E6" i="76"/>
  <c r="E5" i="76"/>
  <c r="A4" i="76"/>
  <c r="A5" i="76" s="1"/>
  <c r="A6" i="76" s="1"/>
  <c r="A7" i="76" s="1"/>
  <c r="A8" i="76" s="1"/>
  <c r="A9" i="76" s="1"/>
  <c r="A10" i="76" s="1"/>
  <c r="A11" i="76" s="1"/>
  <c r="A12" i="76" s="1"/>
  <c r="A13" i="76" s="1"/>
  <c r="A14" i="76" s="1"/>
  <c r="A15" i="76" s="1"/>
  <c r="A16" i="76" s="1"/>
  <c r="A17" i="76" s="1"/>
  <c r="A18" i="76" s="1"/>
  <c r="A19" i="76" s="1"/>
  <c r="A20" i="76" s="1"/>
  <c r="A21" i="76" s="1"/>
  <c r="A22" i="76" s="1"/>
  <c r="A23" i="76" s="1"/>
  <c r="A24" i="76" s="1"/>
  <c r="A25" i="76" s="1"/>
  <c r="A26" i="76" s="1"/>
  <c r="A27" i="76" s="1"/>
  <c r="A28" i="76" s="1"/>
  <c r="A29" i="76" s="1"/>
  <c r="A30" i="76" s="1"/>
  <c r="A31" i="76" s="1"/>
  <c r="A32" i="76" s="1"/>
  <c r="A33" i="76" s="1"/>
  <c r="A34" i="76" s="1"/>
  <c r="A35" i="76" s="1"/>
  <c r="A36" i="76" s="1"/>
  <c r="A37" i="76" s="1"/>
  <c r="A38" i="76" s="1"/>
  <c r="A39" i="76" s="1"/>
  <c r="A40" i="76" s="1"/>
  <c r="A45" i="76" s="1"/>
  <c r="A46" i="76" s="1"/>
  <c r="A47" i="76" s="1"/>
  <c r="A48" i="76" s="1"/>
  <c r="A49" i="76" s="1"/>
  <c r="A50" i="76" s="1"/>
  <c r="A54" i="76" s="1"/>
  <c r="A55" i="76" s="1"/>
  <c r="A59" i="76" s="1"/>
  <c r="A60" i="76" s="1"/>
  <c r="A61" i="76" s="1"/>
  <c r="A62" i="76" s="1"/>
  <c r="A63" i="76" s="1"/>
  <c r="A64" i="76" s="1"/>
  <c r="A65" i="76" s="1"/>
  <c r="A66" i="76" s="1"/>
  <c r="E3" i="76"/>
  <c r="J68" i="75"/>
  <c r="E40" i="75"/>
  <c r="E39" i="75"/>
  <c r="E38" i="75"/>
  <c r="E37" i="75"/>
  <c r="E36" i="75"/>
  <c r="E35" i="75"/>
  <c r="E34" i="75"/>
  <c r="E33" i="75"/>
  <c r="E32" i="75"/>
  <c r="E30" i="75"/>
  <c r="E29" i="75"/>
  <c r="E28" i="75"/>
  <c r="E27" i="75"/>
  <c r="E26" i="75"/>
  <c r="E25" i="75"/>
  <c r="E24" i="75"/>
  <c r="E23" i="75"/>
  <c r="E22" i="75"/>
  <c r="E21" i="75"/>
  <c r="E20" i="75"/>
  <c r="E19" i="75"/>
  <c r="E18" i="75"/>
  <c r="C17" i="75"/>
  <c r="E17" i="75" s="1"/>
  <c r="E16" i="75"/>
  <c r="E15" i="75"/>
  <c r="C14" i="75"/>
  <c r="E14" i="75" s="1"/>
  <c r="E13" i="75"/>
  <c r="E12" i="75"/>
  <c r="E11" i="75"/>
  <c r="E10" i="75"/>
  <c r="E9" i="75"/>
  <c r="E8" i="75"/>
  <c r="E7" i="75"/>
  <c r="E6" i="75"/>
  <c r="E5" i="75"/>
  <c r="A4" i="75"/>
  <c r="A5" i="75" s="1"/>
  <c r="A6" i="75" s="1"/>
  <c r="A7" i="75" s="1"/>
  <c r="A8" i="75" s="1"/>
  <c r="A9" i="75" s="1"/>
  <c r="A10" i="75" s="1"/>
  <c r="A11" i="75" s="1"/>
  <c r="A12" i="75" s="1"/>
  <c r="A13" i="75" s="1"/>
  <c r="A14" i="75" s="1"/>
  <c r="A15" i="75" s="1"/>
  <c r="A16" i="75" s="1"/>
  <c r="A17" i="75" s="1"/>
  <c r="A18" i="75" s="1"/>
  <c r="A19" i="75" s="1"/>
  <c r="A20" i="75" s="1"/>
  <c r="A21" i="75" s="1"/>
  <c r="A22" i="75" s="1"/>
  <c r="A23" i="75" s="1"/>
  <c r="A24" i="75" s="1"/>
  <c r="A25" i="75" s="1"/>
  <c r="A26" i="75" s="1"/>
  <c r="A27" i="75" s="1"/>
  <c r="A28" i="75" s="1"/>
  <c r="A29" i="75" s="1"/>
  <c r="A30" i="75" s="1"/>
  <c r="A31" i="75" s="1"/>
  <c r="A32" i="75" s="1"/>
  <c r="A33" i="75" s="1"/>
  <c r="A34" i="75" s="1"/>
  <c r="A35" i="75" s="1"/>
  <c r="A36" i="75" s="1"/>
  <c r="A37" i="75" s="1"/>
  <c r="A38" i="75" s="1"/>
  <c r="A39" i="75" s="1"/>
  <c r="A40" i="75" s="1"/>
  <c r="A45" i="75" s="1"/>
  <c r="A46" i="75" s="1"/>
  <c r="A47" i="75" s="1"/>
  <c r="A48" i="75" s="1"/>
  <c r="A49" i="75" s="1"/>
  <c r="A50" i="75" s="1"/>
  <c r="A54" i="75" s="1"/>
  <c r="A55" i="75" s="1"/>
  <c r="A59" i="75" s="1"/>
  <c r="A60" i="75" s="1"/>
  <c r="A61" i="75" s="1"/>
  <c r="A62" i="75" s="1"/>
  <c r="A63" i="75" s="1"/>
  <c r="A64" i="75" s="1"/>
  <c r="A65" i="75" s="1"/>
  <c r="A66" i="75" s="1"/>
  <c r="E3" i="75"/>
  <c r="H70" i="76" l="1"/>
  <c r="E42" i="75"/>
  <c r="H74" i="75"/>
  <c r="H79" i="75" s="1"/>
  <c r="F26" i="75"/>
  <c r="H74" i="66"/>
  <c r="G68" i="75"/>
  <c r="F25" i="75"/>
  <c r="E42" i="76"/>
  <c r="E43" i="76" s="1"/>
  <c r="E43" i="75"/>
  <c r="H75" i="76"/>
  <c r="E42" i="77"/>
  <c r="H73" i="75"/>
  <c r="H75" i="66" l="1"/>
  <c r="H76" i="66" s="1"/>
  <c r="E50" i="75"/>
  <c r="E48" i="75"/>
  <c r="E46" i="75"/>
  <c r="E49" i="75"/>
  <c r="E45" i="75"/>
  <c r="E47" i="75"/>
  <c r="H78" i="75"/>
  <c r="E43" i="77"/>
  <c r="E49" i="76"/>
  <c r="E50" i="76"/>
  <c r="E48" i="76"/>
  <c r="E46" i="76"/>
  <c r="E45" i="76"/>
  <c r="E47" i="76"/>
  <c r="E52" i="75" l="1"/>
  <c r="E55" i="75"/>
  <c r="E54" i="75"/>
  <c r="E52" i="76"/>
  <c r="E50" i="77"/>
  <c r="E49" i="77"/>
  <c r="E47" i="77"/>
  <c r="E45" i="77"/>
  <c r="E48" i="77"/>
  <c r="E46" i="77"/>
  <c r="E57" i="75" l="1"/>
  <c r="E65" i="75"/>
  <c r="E63" i="75"/>
  <c r="E61" i="75"/>
  <c r="E59" i="75"/>
  <c r="E64" i="75"/>
  <c r="E60" i="75"/>
  <c r="E62" i="75"/>
  <c r="E55" i="76"/>
  <c r="E57" i="76" s="1"/>
  <c r="E54" i="76"/>
  <c r="E52" i="77"/>
  <c r="E67" i="75" l="1"/>
  <c r="H75" i="75" s="1"/>
  <c r="E64" i="76"/>
  <c r="E62" i="76"/>
  <c r="E60" i="76"/>
  <c r="E65" i="76"/>
  <c r="E63" i="76"/>
  <c r="E61" i="76"/>
  <c r="E59" i="76"/>
  <c r="E67" i="76" s="1"/>
  <c r="G69" i="75"/>
  <c r="E55" i="77"/>
  <c r="E54" i="77"/>
  <c r="E57" i="77" s="1"/>
  <c r="H72" i="76" l="1"/>
  <c r="F23" i="76"/>
  <c r="E65" i="77"/>
  <c r="E63" i="77"/>
  <c r="E61" i="77"/>
  <c r="E59" i="77"/>
  <c r="E64" i="77"/>
  <c r="E62" i="77"/>
  <c r="E60" i="77"/>
  <c r="H77" i="76"/>
  <c r="H78" i="76" s="1"/>
  <c r="H73" i="76"/>
  <c r="H80" i="75"/>
  <c r="H81" i="75" s="1"/>
  <c r="H76" i="75"/>
  <c r="E67" i="77" l="1"/>
  <c r="G69" i="77" s="1"/>
  <c r="D3" i="68"/>
  <c r="D2" i="68"/>
  <c r="F66" i="1" l="1"/>
  <c r="D23" i="62"/>
  <c r="D23" i="63" s="1"/>
  <c r="D23" i="61" s="1"/>
  <c r="G66" i="1"/>
  <c r="C19" i="1" l="1"/>
  <c r="H66" i="1"/>
  <c r="F13" i="20"/>
  <c r="F12" i="20"/>
  <c r="F11" i="20"/>
  <c r="C23" i="13" l="1"/>
  <c r="E23" i="13" s="1"/>
  <c r="E19" i="1"/>
  <c r="D18" i="13"/>
  <c r="E57" i="66"/>
  <c r="D57" i="66"/>
  <c r="C57" i="66"/>
  <c r="F56" i="66"/>
  <c r="H56" i="66" s="1"/>
  <c r="F55" i="66"/>
  <c r="H55" i="66" s="1"/>
  <c r="F54" i="66"/>
  <c r="H54" i="66" s="1"/>
  <c r="F53" i="66"/>
  <c r="H53" i="66" s="1"/>
  <c r="F52" i="66"/>
  <c r="H52" i="66" s="1"/>
  <c r="F51" i="66"/>
  <c r="H51" i="66" s="1"/>
  <c r="F50" i="66"/>
  <c r="O15" i="3"/>
  <c r="O14" i="3"/>
  <c r="O12" i="3"/>
  <c r="O6" i="3"/>
  <c r="F22" i="20" l="1"/>
  <c r="F57" i="66"/>
  <c r="I56" i="66"/>
  <c r="I52" i="66"/>
  <c r="I55" i="66"/>
  <c r="I51" i="66"/>
  <c r="I54" i="66"/>
  <c r="I50" i="66"/>
  <c r="I53" i="66"/>
  <c r="H50" i="66"/>
  <c r="H57" i="66" l="1"/>
  <c r="I57" i="66"/>
  <c r="G36" i="66" l="1"/>
  <c r="G35" i="66"/>
  <c r="G34" i="66"/>
  <c r="G33" i="66"/>
  <c r="G16" i="66"/>
  <c r="G17" i="66"/>
  <c r="G18" i="66"/>
  <c r="G19" i="66"/>
  <c r="G20" i="66"/>
  <c r="G21" i="66"/>
  <c r="G22" i="66"/>
  <c r="G23" i="66"/>
  <c r="G24" i="66"/>
  <c r="G25" i="66"/>
  <c r="G26" i="66"/>
  <c r="G27" i="66"/>
  <c r="G28" i="66"/>
  <c r="G29" i="66"/>
  <c r="G30" i="66"/>
  <c r="G15" i="66"/>
  <c r="G14" i="66"/>
  <c r="E46" i="66"/>
  <c r="D46" i="66"/>
  <c r="C46" i="66"/>
  <c r="F45" i="66"/>
  <c r="H45" i="66" s="1"/>
  <c r="F44" i="66"/>
  <c r="H44" i="66" s="1"/>
  <c r="F43" i="66"/>
  <c r="H43" i="66" s="1"/>
  <c r="F42" i="66"/>
  <c r="H42" i="66" s="1"/>
  <c r="F41" i="66"/>
  <c r="H41" i="66" s="1"/>
  <c r="F40" i="66"/>
  <c r="H40" i="66" s="1"/>
  <c r="F39" i="66"/>
  <c r="F46" i="66" l="1"/>
  <c r="H46" i="66" s="1"/>
  <c r="H39" i="66"/>
  <c r="F50" i="20" l="1"/>
  <c r="E70" i="20"/>
  <c r="D96" i="66" l="1"/>
  <c r="D95" i="66"/>
  <c r="D91" i="66"/>
  <c r="D90" i="66"/>
  <c r="R62" i="66"/>
  <c r="D97" i="66" s="1"/>
  <c r="Q62" i="66"/>
  <c r="V31" i="66"/>
  <c r="D94" i="66" l="1"/>
  <c r="D92" i="66"/>
  <c r="C9" i="1" l="1"/>
  <c r="C16" i="61" l="1"/>
  <c r="C16" i="13"/>
  <c r="C16" i="62"/>
  <c r="C16" i="63"/>
  <c r="D18" i="62"/>
  <c r="D18" i="63" s="1"/>
  <c r="D18" i="61" s="1"/>
  <c r="C17" i="62" l="1"/>
  <c r="C22" i="62"/>
  <c r="B23" i="61" l="1"/>
  <c r="B15" i="61"/>
  <c r="B14" i="61"/>
  <c r="B13" i="61"/>
  <c r="B12" i="61"/>
  <c r="B23" i="63"/>
  <c r="B15" i="63"/>
  <c r="B14" i="63"/>
  <c r="B13" i="63"/>
  <c r="B12" i="63"/>
  <c r="B23" i="62"/>
  <c r="B15" i="62"/>
  <c r="B14" i="62"/>
  <c r="B13" i="62"/>
  <c r="B12" i="62"/>
  <c r="D4" i="52" l="1"/>
  <c r="E4" i="52" s="1"/>
  <c r="D67" i="20"/>
  <c r="D9" i="1"/>
  <c r="D16" i="13" s="1"/>
  <c r="D70" i="20"/>
  <c r="D69" i="20"/>
  <c r="D46" i="20"/>
  <c r="D60" i="20"/>
  <c r="D66" i="20"/>
  <c r="E7" i="3" s="1"/>
  <c r="E67" i="20"/>
  <c r="C5" i="1" s="1"/>
  <c r="V60" i="20"/>
  <c r="V47" i="20"/>
  <c r="B52" i="20"/>
  <c r="B12" i="1"/>
  <c r="B12" i="13"/>
  <c r="B13" i="13"/>
  <c r="B14" i="13"/>
  <c r="B15" i="13"/>
  <c r="B23" i="13"/>
  <c r="O5" i="3"/>
  <c r="B6" i="3"/>
  <c r="B7" i="3"/>
  <c r="B8" i="3"/>
  <c r="B9" i="3"/>
  <c r="B10" i="3"/>
  <c r="B11" i="3"/>
  <c r="B12" i="3"/>
  <c r="B13" i="3"/>
  <c r="B14" i="3"/>
  <c r="B15" i="3"/>
  <c r="B19" i="3"/>
  <c r="B42" i="20"/>
  <c r="B44" i="20"/>
  <c r="B59" i="20"/>
  <c r="B60" i="20"/>
  <c r="B63" i="20"/>
  <c r="B66" i="20"/>
  <c r="B68" i="20"/>
  <c r="B69" i="20"/>
  <c r="B70" i="20"/>
  <c r="E69" i="20"/>
  <c r="C12" i="13" l="1"/>
  <c r="F8" i="3"/>
  <c r="D8" i="3"/>
  <c r="O8" i="3" s="1"/>
  <c r="O7" i="3"/>
  <c r="G9" i="3"/>
  <c r="O9" i="3" s="1"/>
  <c r="D16" i="62"/>
  <c r="D16" i="63"/>
  <c r="F4" i="52"/>
  <c r="G4" i="52" s="1"/>
  <c r="H4" i="52" s="1"/>
  <c r="D16" i="61"/>
  <c r="C12" i="62"/>
  <c r="C23" i="62"/>
  <c r="E23" i="62" s="1"/>
  <c r="A18" i="63"/>
  <c r="A18" i="61"/>
  <c r="A18" i="62"/>
  <c r="A18" i="13"/>
  <c r="F17" i="20"/>
  <c r="F70" i="20"/>
  <c r="E46" i="20"/>
  <c r="D6" i="1"/>
  <c r="D5" i="1"/>
  <c r="D12" i="13" s="1"/>
  <c r="F69" i="20"/>
  <c r="C6" i="1"/>
  <c r="C13" i="13" s="1"/>
  <c r="C13" i="62" s="1"/>
  <c r="C13" i="63" s="1"/>
  <c r="C13" i="61" s="1"/>
  <c r="O11" i="3"/>
  <c r="D7" i="1"/>
  <c r="F67" i="20"/>
  <c r="F18" i="20"/>
  <c r="F46" i="20" l="1"/>
  <c r="C15" i="1"/>
  <c r="D12" i="61"/>
  <c r="D12" i="63"/>
  <c r="D12" i="62"/>
  <c r="E12" i="13"/>
  <c r="E16" i="61"/>
  <c r="C23" i="63"/>
  <c r="E23" i="63" s="1"/>
  <c r="D13" i="61"/>
  <c r="E13" i="61" s="1"/>
  <c r="F13" i="61" s="1"/>
  <c r="D13" i="62"/>
  <c r="D13" i="63"/>
  <c r="D13" i="13"/>
  <c r="D14" i="62"/>
  <c r="D14" i="63"/>
  <c r="D14" i="61"/>
  <c r="D14" i="13"/>
  <c r="E6" i="1"/>
  <c r="F68" i="20"/>
  <c r="E9" i="1"/>
  <c r="F66" i="20"/>
  <c r="E15" i="1" l="1"/>
  <c r="C21" i="13"/>
  <c r="E16" i="63"/>
  <c r="F16" i="63" s="1"/>
  <c r="H16" i="61"/>
  <c r="G16" i="61"/>
  <c r="I16" i="61"/>
  <c r="F16" i="61"/>
  <c r="C23" i="61"/>
  <c r="E23" i="61" s="1"/>
  <c r="F23" i="61" s="1"/>
  <c r="F60" i="20"/>
  <c r="E16" i="62"/>
  <c r="H16" i="62" s="1"/>
  <c r="E13" i="63"/>
  <c r="H13" i="63" s="1"/>
  <c r="E16" i="13"/>
  <c r="I16" i="13" s="1"/>
  <c r="K24" i="61"/>
  <c r="I28" i="48" s="1"/>
  <c r="E13" i="62"/>
  <c r="E13" i="13"/>
  <c r="G13" i="13" s="1"/>
  <c r="E5" i="1"/>
  <c r="C8" i="1"/>
  <c r="C15" i="13" s="1"/>
  <c r="C15" i="62" s="1"/>
  <c r="C15" i="63" s="1"/>
  <c r="C15" i="61" s="1"/>
  <c r="C7" i="1"/>
  <c r="C21" i="62" l="1"/>
  <c r="E21" i="13"/>
  <c r="H16" i="63"/>
  <c r="K16" i="61"/>
  <c r="E12" i="62"/>
  <c r="G12" i="62" s="1"/>
  <c r="H12" i="13"/>
  <c r="C14" i="13"/>
  <c r="F16" i="62"/>
  <c r="H23" i="61"/>
  <c r="I23" i="61"/>
  <c r="G23" i="61"/>
  <c r="H23" i="63"/>
  <c r="F23" i="63"/>
  <c r="G23" i="63"/>
  <c r="I23" i="63"/>
  <c r="H23" i="62"/>
  <c r="I23" i="62"/>
  <c r="F23" i="62"/>
  <c r="G23" i="62"/>
  <c r="G16" i="62"/>
  <c r="I23" i="13"/>
  <c r="H23" i="13"/>
  <c r="G23" i="13"/>
  <c r="F23" i="13"/>
  <c r="I16" i="62"/>
  <c r="G16" i="63"/>
  <c r="F13" i="63"/>
  <c r="I16" i="63"/>
  <c r="G13" i="63"/>
  <c r="I13" i="63"/>
  <c r="F13" i="13"/>
  <c r="I13" i="13"/>
  <c r="H13" i="13"/>
  <c r="H13" i="62"/>
  <c r="F13" i="62"/>
  <c r="G13" i="62"/>
  <c r="I13" i="62"/>
  <c r="E7" i="1"/>
  <c r="H13" i="61"/>
  <c r="I13" i="61"/>
  <c r="G13" i="61"/>
  <c r="H16" i="13"/>
  <c r="F16" i="13"/>
  <c r="G16" i="13"/>
  <c r="F21" i="13" l="1"/>
  <c r="H21" i="13"/>
  <c r="G21" i="13"/>
  <c r="I21" i="13"/>
  <c r="C21" i="63"/>
  <c r="E21" i="62"/>
  <c r="C14" i="62"/>
  <c r="E14" i="62" s="1"/>
  <c r="I14" i="62" s="1"/>
  <c r="K16" i="63"/>
  <c r="K23" i="63"/>
  <c r="C12" i="63"/>
  <c r="F12" i="62"/>
  <c r="I12" i="62"/>
  <c r="G12" i="13"/>
  <c r="H12" i="62"/>
  <c r="I12" i="13"/>
  <c r="F12" i="13"/>
  <c r="E14" i="13"/>
  <c r="H14" i="13" s="1"/>
  <c r="K16" i="62"/>
  <c r="K23" i="61"/>
  <c r="K23" i="13"/>
  <c r="K23" i="62"/>
  <c r="K13" i="13"/>
  <c r="C14" i="48" s="1"/>
  <c r="K13" i="63"/>
  <c r="K13" i="61"/>
  <c r="K13" i="62"/>
  <c r="K16" i="13"/>
  <c r="C20" i="48"/>
  <c r="K21" i="13" l="1"/>
  <c r="I21" i="62"/>
  <c r="H21" i="62"/>
  <c r="G21" i="62"/>
  <c r="F21" i="62"/>
  <c r="E21" i="63"/>
  <c r="C21" i="61"/>
  <c r="E21" i="61" s="1"/>
  <c r="C22" i="48"/>
  <c r="C14" i="63"/>
  <c r="C12" i="61"/>
  <c r="E12" i="63"/>
  <c r="E21" i="48"/>
  <c r="K12" i="13"/>
  <c r="C13" i="48" s="1"/>
  <c r="K12" i="62"/>
  <c r="E20" i="48"/>
  <c r="H14" i="62"/>
  <c r="F14" i="62"/>
  <c r="G14" i="62"/>
  <c r="G14" i="13"/>
  <c r="F14" i="13"/>
  <c r="I14" i="13"/>
  <c r="I24" i="48"/>
  <c r="G24" i="48"/>
  <c r="E24" i="48"/>
  <c r="I14" i="48"/>
  <c r="I17" i="48"/>
  <c r="G17" i="48"/>
  <c r="E17" i="48"/>
  <c r="C17" i="48"/>
  <c r="G14" i="48"/>
  <c r="E14" i="48"/>
  <c r="C24" i="48"/>
  <c r="C21" i="48"/>
  <c r="F21" i="61" l="1"/>
  <c r="I21" i="61"/>
  <c r="H21" i="61"/>
  <c r="G21" i="61"/>
  <c r="K21" i="61" s="1"/>
  <c r="H21" i="63"/>
  <c r="F21" i="63"/>
  <c r="I21" i="63"/>
  <c r="G21" i="63"/>
  <c r="K21" i="62"/>
  <c r="C14" i="61"/>
  <c r="E14" i="61" s="1"/>
  <c r="E14" i="63"/>
  <c r="H12" i="63"/>
  <c r="F12" i="63"/>
  <c r="I12" i="63"/>
  <c r="G12" i="63"/>
  <c r="E12" i="61"/>
  <c r="E13" i="48"/>
  <c r="K14" i="62"/>
  <c r="K14" i="13"/>
  <c r="C15" i="48" s="1"/>
  <c r="I22" i="48" l="1"/>
  <c r="K21" i="63"/>
  <c r="E22" i="48"/>
  <c r="G14" i="63"/>
  <c r="H14" i="63"/>
  <c r="F14" i="63"/>
  <c r="I14" i="63"/>
  <c r="F14" i="61"/>
  <c r="H14" i="61"/>
  <c r="G14" i="61"/>
  <c r="I14" i="61"/>
  <c r="K12" i="63"/>
  <c r="G12" i="61"/>
  <c r="I12" i="61"/>
  <c r="H12" i="61"/>
  <c r="F12" i="61"/>
  <c r="G20" i="48"/>
  <c r="I20" i="48"/>
  <c r="I21" i="48"/>
  <c r="G21" i="48"/>
  <c r="E15" i="48"/>
  <c r="G22" i="48" l="1"/>
  <c r="K14" i="61"/>
  <c r="I15" i="48" s="1"/>
  <c r="K14" i="63"/>
  <c r="G15" i="48" s="1"/>
  <c r="K12" i="61"/>
  <c r="G13" i="48"/>
  <c r="I13" i="48" l="1"/>
  <c r="C12" i="1" l="1"/>
  <c r="C17" i="1" s="1"/>
  <c r="C21" i="1" s="1"/>
  <c r="E71" i="20"/>
  <c r="E80" i="20" s="1"/>
  <c r="C18" i="13" l="1"/>
  <c r="C25" i="13" s="1"/>
  <c r="E12" i="1"/>
  <c r="C18" i="62" l="1"/>
  <c r="C25" i="62" s="1"/>
  <c r="E18" i="13"/>
  <c r="E18" i="62" l="1"/>
  <c r="C18" i="63"/>
  <c r="C25" i="63" s="1"/>
  <c r="G18" i="13"/>
  <c r="F18" i="13"/>
  <c r="H18" i="13"/>
  <c r="I18" i="13"/>
  <c r="G12" i="68" l="1"/>
  <c r="G10" i="68"/>
  <c r="G11" i="68"/>
  <c r="F13" i="68"/>
  <c r="I18" i="62"/>
  <c r="F18" i="62"/>
  <c r="G18" i="62"/>
  <c r="H18" i="62"/>
  <c r="K18" i="13"/>
  <c r="E18" i="63"/>
  <c r="C18" i="61"/>
  <c r="C25" i="61" s="1"/>
  <c r="F15" i="68" l="1"/>
  <c r="E18" i="61"/>
  <c r="I18" i="61" s="1"/>
  <c r="C19" i="48"/>
  <c r="K18" i="62"/>
  <c r="G18" i="63"/>
  <c r="F18" i="63"/>
  <c r="I18" i="63"/>
  <c r="H18" i="63"/>
  <c r="E19" i="68" l="1"/>
  <c r="F18" i="68"/>
  <c r="E20" i="68"/>
  <c r="E22" i="68" s="1"/>
  <c r="E26" i="68" s="1"/>
  <c r="H13" i="68"/>
  <c r="H12" i="68"/>
  <c r="H11" i="68"/>
  <c r="H10" i="68"/>
  <c r="G13" i="68"/>
  <c r="G15" i="68" s="1"/>
  <c r="H18" i="61"/>
  <c r="G18" i="61"/>
  <c r="F18" i="61"/>
  <c r="K18" i="63"/>
  <c r="E19" i="48"/>
  <c r="H15" i="68" l="1"/>
  <c r="G19" i="68" s="1"/>
  <c r="G18" i="68"/>
  <c r="F19" i="68"/>
  <c r="G20" i="68"/>
  <c r="K18" i="61"/>
  <c r="I19" i="48" s="1"/>
  <c r="G19" i="48"/>
  <c r="F20" i="68" l="1"/>
  <c r="F22" i="68" s="1"/>
  <c r="F26" i="68" s="1"/>
  <c r="G22" i="68"/>
  <c r="G26" i="68" s="1"/>
  <c r="Q5" i="13"/>
  <c r="H26" i="68" l="1"/>
  <c r="C27" i="68" s="1"/>
  <c r="L10" i="13" s="1"/>
  <c r="M21" i="13" s="1"/>
  <c r="H22" i="68"/>
  <c r="D22" i="48" l="1"/>
  <c r="Q21" i="13"/>
  <c r="E21" i="81" s="1"/>
  <c r="M24" i="13"/>
  <c r="D28" i="48" s="1"/>
  <c r="Q24" i="13" l="1"/>
  <c r="E24" i="81" s="1"/>
  <c r="C6" i="81"/>
  <c r="M12" i="13" l="1"/>
  <c r="L10" i="62"/>
  <c r="M21" i="62" s="1"/>
  <c r="M16" i="13"/>
  <c r="L10" i="63"/>
  <c r="M21" i="63" s="1"/>
  <c r="M18" i="13"/>
  <c r="M23" i="13"/>
  <c r="L10" i="61"/>
  <c r="M13" i="13"/>
  <c r="M14" i="13"/>
  <c r="M24" i="61" l="1"/>
  <c r="J28" i="48" s="1"/>
  <c r="M21" i="61"/>
  <c r="Q21" i="63"/>
  <c r="G21" i="81" s="1"/>
  <c r="H22" i="48"/>
  <c r="Q21" i="62"/>
  <c r="F21" i="81" s="1"/>
  <c r="F22" i="48"/>
  <c r="M24" i="63"/>
  <c r="H28" i="48" s="1"/>
  <c r="M24" i="62"/>
  <c r="F28" i="48" s="1"/>
  <c r="D13" i="48"/>
  <c r="D14" i="48"/>
  <c r="Q13" i="13"/>
  <c r="E13" i="81" s="1"/>
  <c r="E20" i="81"/>
  <c r="D21" i="48"/>
  <c r="D17" i="48"/>
  <c r="Q16" i="13"/>
  <c r="E16" i="81" s="1"/>
  <c r="D20" i="48"/>
  <c r="E19" i="81"/>
  <c r="Q23" i="13"/>
  <c r="E23" i="81" s="1"/>
  <c r="D24" i="48"/>
  <c r="D19" i="48"/>
  <c r="Q18" i="13"/>
  <c r="E18" i="81" s="1"/>
  <c r="M13" i="62"/>
  <c r="M14" i="62"/>
  <c r="M23" i="62"/>
  <c r="M16" i="62"/>
  <c r="M12" i="62"/>
  <c r="M18" i="62"/>
  <c r="Q14" i="13"/>
  <c r="E14" i="81" s="1"/>
  <c r="D15" i="48"/>
  <c r="M14" i="61"/>
  <c r="M12" i="61"/>
  <c r="M18" i="61"/>
  <c r="M13" i="61"/>
  <c r="M23" i="61"/>
  <c r="M16" i="61"/>
  <c r="M16" i="63"/>
  <c r="M14" i="63"/>
  <c r="M18" i="63"/>
  <c r="M13" i="63"/>
  <c r="M12" i="63"/>
  <c r="M23" i="63"/>
  <c r="Q12" i="13"/>
  <c r="Q24" i="61" l="1"/>
  <c r="H24" i="81" s="1"/>
  <c r="Q24" i="63"/>
  <c r="G24" i="81" s="1"/>
  <c r="Q21" i="61"/>
  <c r="H21" i="81" s="1"/>
  <c r="D21" i="81" s="1"/>
  <c r="J22" i="48"/>
  <c r="Q24" i="62"/>
  <c r="F24" i="81" s="1"/>
  <c r="H20" i="48"/>
  <c r="G19" i="81"/>
  <c r="J21" i="48"/>
  <c r="H20" i="81"/>
  <c r="J14" i="48"/>
  <c r="Q13" i="61"/>
  <c r="H13" i="81" s="1"/>
  <c r="Q12" i="62"/>
  <c r="F13" i="48"/>
  <c r="Q23" i="62"/>
  <c r="F23" i="81" s="1"/>
  <c r="F24" i="48"/>
  <c r="H24" i="48"/>
  <c r="Q23" i="63"/>
  <c r="G20" i="81"/>
  <c r="H21" i="48"/>
  <c r="Q18" i="63"/>
  <c r="G18" i="81" s="1"/>
  <c r="H19" i="48"/>
  <c r="J17" i="48"/>
  <c r="Q16" i="61"/>
  <c r="Q12" i="61"/>
  <c r="J13" i="48"/>
  <c r="F19" i="48"/>
  <c r="Q18" i="62"/>
  <c r="F18" i="81" s="1"/>
  <c r="F15" i="48"/>
  <c r="Q14" i="62"/>
  <c r="F14" i="81" s="1"/>
  <c r="E12" i="81"/>
  <c r="Q12" i="63"/>
  <c r="H13" i="48"/>
  <c r="H15" i="48"/>
  <c r="Q14" i="63"/>
  <c r="G14" i="81" s="1"/>
  <c r="J20" i="48"/>
  <c r="H19" i="81"/>
  <c r="J19" i="48"/>
  <c r="Q18" i="61"/>
  <c r="H18" i="81" s="1"/>
  <c r="Q14" i="61"/>
  <c r="H14" i="81" s="1"/>
  <c r="J15" i="48"/>
  <c r="F20" i="48"/>
  <c r="F19" i="81"/>
  <c r="Q16" i="62"/>
  <c r="F17" i="48"/>
  <c r="F20" i="81"/>
  <c r="F21" i="48"/>
  <c r="Q13" i="63"/>
  <c r="G13" i="81" s="1"/>
  <c r="H14" i="48"/>
  <c r="H17" i="48"/>
  <c r="Q16" i="63"/>
  <c r="J24" i="48"/>
  <c r="Q23" i="61"/>
  <c r="F14" i="48"/>
  <c r="Q13" i="62"/>
  <c r="F13" i="81" s="1"/>
  <c r="D24" i="81" l="1"/>
  <c r="F16" i="81"/>
  <c r="H16" i="81"/>
  <c r="G16" i="81"/>
  <c r="D13" i="81"/>
  <c r="D19" i="81"/>
  <c r="H12" i="81"/>
  <c r="H23" i="81"/>
  <c r="D14" i="81"/>
  <c r="D18" i="81"/>
  <c r="G23" i="81"/>
  <c r="G12" i="81"/>
  <c r="D20" i="81"/>
  <c r="F12" i="81"/>
  <c r="D16" i="81" l="1"/>
  <c r="D23" i="81"/>
  <c r="D12" i="81"/>
  <c r="E31" i="81" l="1"/>
  <c r="D31" i="81" s="1"/>
  <c r="G31" i="81"/>
  <c r="F31" i="81"/>
  <c r="H31" i="81"/>
  <c r="C47" i="81" l="1"/>
  <c r="F10" i="20"/>
  <c r="F28" i="20" s="1"/>
  <c r="F39" i="20" s="1"/>
  <c r="D15" i="62"/>
  <c r="E15" i="62"/>
  <c r="H15" i="62" s="1"/>
  <c r="D59" i="20"/>
  <c r="E10" i="3" s="1"/>
  <c r="O10" i="3" s="1"/>
  <c r="P12" i="3" s="1"/>
  <c r="D8" i="1"/>
  <c r="D17" i="1" s="1"/>
  <c r="D15" i="61" l="1"/>
  <c r="E15" i="61" s="1"/>
  <c r="G15" i="62"/>
  <c r="F15" i="62"/>
  <c r="I15" i="62"/>
  <c r="E8" i="1"/>
  <c r="E17" i="1" s="1"/>
  <c r="D15" i="63"/>
  <c r="E15" i="63" s="1"/>
  <c r="D15" i="13"/>
  <c r="E15" i="13" s="1"/>
  <c r="F59" i="20"/>
  <c r="I15" i="13" l="1"/>
  <c r="G15" i="13"/>
  <c r="H15" i="13"/>
  <c r="F15" i="13"/>
  <c r="K15" i="13" s="1"/>
  <c r="I15" i="63"/>
  <c r="H15" i="63"/>
  <c r="G15" i="63"/>
  <c r="F15" i="63"/>
  <c r="K15" i="63" s="1"/>
  <c r="K15" i="62"/>
  <c r="F15" i="61"/>
  <c r="H15" i="61"/>
  <c r="I15" i="61"/>
  <c r="G15" i="61"/>
  <c r="E16" i="48" l="1"/>
  <c r="M15" i="62"/>
  <c r="M15" i="13"/>
  <c r="C16" i="48"/>
  <c r="K15" i="61"/>
  <c r="G16" i="48"/>
  <c r="M15" i="63"/>
  <c r="Q15" i="13" l="1"/>
  <c r="D16" i="48"/>
  <c r="F16" i="48"/>
  <c r="Q15" i="62"/>
  <c r="H16" i="48"/>
  <c r="Q15" i="63"/>
  <c r="I16" i="48"/>
  <c r="M15" i="61"/>
  <c r="Q15" i="61" l="1"/>
  <c r="J16" i="48"/>
  <c r="G15" i="81"/>
  <c r="G26" i="81" s="1"/>
  <c r="G30" i="81" s="1"/>
  <c r="Q26" i="63"/>
  <c r="Q26" i="62"/>
  <c r="F15" i="81"/>
  <c r="F26" i="81" s="1"/>
  <c r="F30" i="81" s="1"/>
  <c r="E15" i="81"/>
  <c r="Q26" i="13"/>
  <c r="E26" i="81" l="1"/>
  <c r="E30" i="81" s="1"/>
  <c r="H15" i="81"/>
  <c r="H26" i="81" s="1"/>
  <c r="H30" i="81" s="1"/>
  <c r="Q26" i="61"/>
  <c r="D15" i="81" l="1"/>
  <c r="D26" i="81" s="1"/>
  <c r="D30" i="81"/>
  <c r="C46" i="81" l="1"/>
  <c r="C48" i="81" s="1"/>
  <c r="C49" i="81" s="1"/>
  <c r="D33" i="81"/>
  <c r="D34" i="81" s="1"/>
  <c r="O13" i="3"/>
  <c r="E13" i="3"/>
  <c r="D42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CarlosV</author>
  </authors>
  <commentList>
    <comment ref="D57" authorId="0" shapeId="0" xr:uid="{2F887C8F-BF30-48D0-91F5-B8AE501BB0D9}">
      <text>
        <r>
          <rPr>
            <sz val="9"/>
            <color indexed="81"/>
            <rFont val="Tahoma"/>
            <family val="2"/>
          </rPr>
          <t>CRISTOBAL-TORRE 4A (GANA II)</t>
        </r>
      </text>
    </comment>
    <comment ref="D58" authorId="0" shapeId="0" xr:uid="{186D8F93-A666-496D-8495-7442881DCCAF}">
      <text>
        <r>
          <rPr>
            <sz val="9"/>
            <color indexed="81"/>
            <rFont val="Tahoma"/>
            <family val="2"/>
          </rPr>
          <t>CRISTOBAL-TORRE 4A (GANA II)</t>
        </r>
      </text>
    </comment>
    <comment ref="D59" authorId="0" shapeId="0" xr:uid="{D8289BBE-4BAA-48F0-8901-2EAE47CFE1AA}">
      <text>
        <r>
          <rPr>
            <sz val="9"/>
            <color indexed="81"/>
            <rFont val="Tahoma"/>
            <family val="2"/>
          </rPr>
          <t>CRISTOBAL-TORRE 4A (GANA II)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CarlosV</author>
  </authors>
  <commentList>
    <comment ref="C30" authorId="0" shapeId="0" xr:uid="{ABFD0CBB-519B-4DDB-BB7C-B613326819D8}">
      <text>
        <r>
          <rPr>
            <sz val="9"/>
            <color indexed="81"/>
            <rFont val="Tahoma"/>
            <family val="2"/>
          </rPr>
          <t>CRISTOBAL-TORRE 4A (GANA II)</t>
        </r>
      </text>
    </comment>
    <comment ref="C31" authorId="0" shapeId="0" xr:uid="{39939CC9-02A8-410B-80BD-C46DCD350B4C}">
      <text>
        <r>
          <rPr>
            <sz val="9"/>
            <color indexed="81"/>
            <rFont val="Tahoma"/>
            <family val="2"/>
          </rPr>
          <t>CRISTOBAL-TORRE 4A (GANA II)</t>
        </r>
      </text>
    </comment>
    <comment ref="C32" authorId="0" shapeId="0" xr:uid="{6B10C59A-098F-4A2F-A816-66D41450F5D9}">
      <text>
        <r>
          <rPr>
            <sz val="9"/>
            <color indexed="81"/>
            <rFont val="Tahoma"/>
            <family val="2"/>
          </rPr>
          <t>CRISTOBAL-TORRE 4A (GANA II)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CarlosV</author>
  </authors>
  <commentList>
    <comment ref="N34" authorId="0" shapeId="0" xr:uid="{00000000-0006-0000-0800-000001000000}">
      <text>
        <r>
          <rPr>
            <sz val="9"/>
            <color indexed="81"/>
            <rFont val="Tahoma"/>
            <family val="2"/>
          </rPr>
          <t>Antes T2-Panamá II</t>
        </r>
      </text>
    </comment>
    <comment ref="M83" authorId="0" shapeId="0" xr:uid="{5E556ED8-8A60-49CD-9E71-17F1DFCBB4C4}">
      <text>
        <r>
          <rPr>
            <sz val="9"/>
            <color indexed="81"/>
            <rFont val="Tahoma"/>
            <family val="2"/>
          </rPr>
          <t>CRISTOBAL-TORRE 4A (GANA II)</t>
        </r>
      </text>
    </comment>
    <comment ref="M84" authorId="0" shapeId="0" xr:uid="{AF9777DA-2044-4F0C-A14A-022DE27A928A}">
      <text>
        <r>
          <rPr>
            <sz val="9"/>
            <color indexed="81"/>
            <rFont val="Tahoma"/>
            <family val="2"/>
          </rPr>
          <t>CRISTOBAL-TORRE 4A (GANA II)</t>
        </r>
      </text>
    </comment>
    <comment ref="M85" authorId="0" shapeId="0" xr:uid="{45E3867E-6A8B-45DA-89A7-1ABB3111A991}">
      <text>
        <r>
          <rPr>
            <sz val="9"/>
            <color indexed="81"/>
            <rFont val="Tahoma"/>
            <family val="2"/>
          </rPr>
          <t>CRISTOBAL-TORRE 4A (GANA II)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</author>
  </authors>
  <commentList>
    <comment ref="D30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Carlos:</t>
        </r>
        <r>
          <rPr>
            <sz val="9"/>
            <color indexed="81"/>
            <rFont val="Tahoma"/>
            <family val="2"/>
          </rPr>
          <t xml:space="preserve">
revisar fecha de entrada
</t>
        </r>
      </text>
    </comment>
    <comment ref="F30" authorId="0" shapeId="0" xr:uid="{00000000-0006-0000-0C00-000002000000}">
      <text>
        <r>
          <rPr>
            <b/>
            <sz val="9"/>
            <color indexed="81"/>
            <rFont val="Tahoma"/>
            <family val="2"/>
          </rPr>
          <t>Carlos:</t>
        </r>
        <r>
          <rPr>
            <sz val="9"/>
            <color indexed="81"/>
            <rFont val="Tahoma"/>
            <family val="2"/>
          </rPr>
          <t xml:space="preserve">
revisar fecha de entrada</t>
        </r>
      </text>
    </comment>
    <comment ref="G30" authorId="0" shapeId="0" xr:uid="{00000000-0006-0000-0C00-000003000000}">
      <text>
        <r>
          <rPr>
            <b/>
            <sz val="9"/>
            <color indexed="81"/>
            <rFont val="Tahoma"/>
            <family val="2"/>
          </rPr>
          <t>Carlos:</t>
        </r>
        <r>
          <rPr>
            <sz val="9"/>
            <color indexed="81"/>
            <rFont val="Tahoma"/>
            <family val="2"/>
          </rPr>
          <t xml:space="preserve">
según nota DGC-4-2022 _ Lo cambié a 11,571,000.00 según nota. </t>
        </r>
      </text>
    </comment>
    <comment ref="D31" authorId="0" shapeId="0" xr:uid="{00000000-0006-0000-0C00-000004000000}">
      <text>
        <r>
          <rPr>
            <b/>
            <sz val="9"/>
            <color indexed="81"/>
            <rFont val="Tahoma"/>
            <family val="2"/>
          </rPr>
          <t>Carlos:</t>
        </r>
        <r>
          <rPr>
            <sz val="9"/>
            <color indexed="81"/>
            <rFont val="Tahoma"/>
            <family val="2"/>
          </rPr>
          <t xml:space="preserve">
revisar fecha de entrada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CarlosV</author>
  </authors>
  <commentList>
    <comment ref="B227" authorId="0" shapeId="0" xr:uid="{00000000-0006-0000-1000-000001000000}">
      <text/>
    </comment>
    <comment ref="B228" authorId="0" shapeId="0" xr:uid="{00000000-0006-0000-1000-000002000000}">
      <text>
        <r>
          <rPr>
            <sz val="9"/>
            <color indexed="81"/>
            <rFont val="Tahoma"/>
            <family val="2"/>
          </rPr>
          <t>Por ej: una inversión activada a fines de marzo, ha estado 25% del año tarifario activada</t>
        </r>
      </text>
    </comment>
    <comment ref="B230" authorId="0" shapeId="0" xr:uid="{00000000-0006-0000-1000-000003000000}">
      <text>
        <r>
          <rPr>
            <sz val="9"/>
            <color indexed="81"/>
            <rFont val="Tahoma"/>
            <family val="2"/>
          </rPr>
          <t>Por ej: una inversión activada a fines de octubre, ha estado 75% del año tarifario activada</t>
        </r>
      </text>
    </comment>
    <comment ref="B231" authorId="0" shapeId="0" xr:uid="{00000000-0006-0000-1000-000004000000}">
      <text>
        <r>
          <rPr>
            <sz val="9"/>
            <color indexed="81"/>
            <rFont val="Tahoma"/>
            <family val="2"/>
          </rPr>
          <t>Por ej: una inversión activada a fines de marzo, ha estado 25% del año tarifario activada</t>
        </r>
      </text>
    </comment>
    <comment ref="B233" authorId="0" shapeId="0" xr:uid="{00000000-0006-0000-1000-000005000000}">
      <text>
        <r>
          <rPr>
            <sz val="9"/>
            <color indexed="81"/>
            <rFont val="Tahoma"/>
            <family val="2"/>
          </rPr>
          <t>Por ej: una inversión activada a fines de octubre, ha estado 75% del año tarifario activada</t>
        </r>
      </text>
    </comment>
    <comment ref="B234" authorId="0" shapeId="0" xr:uid="{00000000-0006-0000-1000-000006000000}">
      <text>
        <r>
          <rPr>
            <sz val="9"/>
            <color indexed="81"/>
            <rFont val="Tahoma"/>
            <family val="2"/>
          </rPr>
          <t>Por ej: una inversión activada a fines de marzo, ha estado 25% del año tarifario activada</t>
        </r>
      </text>
    </comment>
    <comment ref="B236" authorId="0" shapeId="0" xr:uid="{00000000-0006-0000-1000-000007000000}">
      <text>
        <r>
          <rPr>
            <sz val="9"/>
            <color indexed="81"/>
            <rFont val="Tahoma"/>
            <family val="2"/>
          </rPr>
          <t>Por ej: una inversión activada a fines de octubre, ha estado 75% del año tarifario activada</t>
        </r>
      </text>
    </comment>
    <comment ref="B237" authorId="0" shapeId="0" xr:uid="{00000000-0006-0000-1000-000008000000}">
      <text>
        <r>
          <rPr>
            <sz val="9"/>
            <color indexed="81"/>
            <rFont val="Tahoma"/>
            <family val="2"/>
          </rPr>
          <t>Por ej: una inversión activada a fines de marzo, ha estado 25% del año tarifario activada</t>
        </r>
      </text>
    </comment>
  </commentList>
</comments>
</file>

<file path=xl/sharedStrings.xml><?xml version="1.0" encoding="utf-8"?>
<sst xmlns="http://schemas.openxmlformats.org/spreadsheetml/2006/main" count="2833" uniqueCount="1062">
  <si>
    <t>EQUIPAMIENTO</t>
  </si>
  <si>
    <t>VNR TOTAL</t>
  </si>
  <si>
    <t>MVA</t>
  </si>
  <si>
    <t>Salidas de Conexión</t>
  </si>
  <si>
    <t>Transformadores</t>
  </si>
  <si>
    <t>CXTR Reductor 42/56/70 MVA</t>
  </si>
  <si>
    <t>CXTR Reductor 30/40/50 MVA</t>
  </si>
  <si>
    <t>Líneas</t>
  </si>
  <si>
    <t>Unidad</t>
  </si>
  <si>
    <t>km</t>
  </si>
  <si>
    <t xml:space="preserve"> </t>
  </si>
  <si>
    <t>TOTAL</t>
  </si>
  <si>
    <t>EMPRESA DE TRANSMISION ELECTRICA, S.A.</t>
  </si>
  <si>
    <t>CARGOS POR CONEXIÓN :  DATOS BASICOS</t>
  </si>
  <si>
    <t>PARAMETROS DE EFICIENCIA</t>
  </si>
  <si>
    <t>PARAMETRO</t>
  </si>
  <si>
    <t>UNIDAD</t>
  </si>
  <si>
    <t>OMT</t>
  </si>
  <si>
    <t>%</t>
  </si>
  <si>
    <t>ADMT</t>
  </si>
  <si>
    <t>RRT</t>
  </si>
  <si>
    <t>DEP</t>
  </si>
  <si>
    <t xml:space="preserve">CARGOS POR CONEXIÓN </t>
  </si>
  <si>
    <t>TIPO DE ACTIVO</t>
  </si>
  <si>
    <t>CX cxj, por equipamiento típico de conexión</t>
  </si>
  <si>
    <t>(1) Todas las líneas de 115 kV Circuito sencillo son de conductor 636 ACSR.</t>
  </si>
  <si>
    <t>(1)</t>
  </si>
  <si>
    <t>Número de instalaciones</t>
  </si>
  <si>
    <t>DETALLE</t>
  </si>
  <si>
    <t>CHORRERA</t>
  </si>
  <si>
    <t>LLANO SANCHEZ</t>
  </si>
  <si>
    <t>MATA DE NANCE</t>
  </si>
  <si>
    <t>PROGRESO</t>
  </si>
  <si>
    <t xml:space="preserve">CHARCO AZUL </t>
  </si>
  <si>
    <t>TOTALES</t>
  </si>
  <si>
    <t>salida</t>
  </si>
  <si>
    <t>Caldera - La Estrella</t>
  </si>
  <si>
    <t>Caldera - Los Valles</t>
  </si>
  <si>
    <t>Caldera - Pja.Sombrero</t>
  </si>
  <si>
    <t>Progreso - Charco Azul</t>
  </si>
  <si>
    <t>VNR</t>
  </si>
  <si>
    <t>Costo Total</t>
  </si>
  <si>
    <t>Costo por Unidad</t>
  </si>
  <si>
    <t>Llano Sánchez 115</t>
  </si>
  <si>
    <t>Llano Sánchez  34.5</t>
  </si>
  <si>
    <t>Progreso 115</t>
  </si>
  <si>
    <t>Progreso 34.5</t>
  </si>
  <si>
    <t>Charco Azul 115</t>
  </si>
  <si>
    <t>Charco Azul Transformador</t>
  </si>
  <si>
    <t>Mata de Nance 34.5</t>
  </si>
  <si>
    <t>Chorrera 34.5</t>
  </si>
  <si>
    <t>Chorrera 230</t>
  </si>
  <si>
    <t>Para trasformadores</t>
  </si>
  <si>
    <t>Costo por MVA</t>
  </si>
  <si>
    <t>Para Patios de 230</t>
  </si>
  <si>
    <t>Salida</t>
  </si>
  <si>
    <t>Costo por Salida</t>
  </si>
  <si>
    <t>Esquema</t>
  </si>
  <si>
    <t>Para Patios de 115</t>
  </si>
  <si>
    <t>Barra Sencilla</t>
  </si>
  <si>
    <t xml:space="preserve">Barra Sencilla </t>
  </si>
  <si>
    <t>Para Patios de 34.5</t>
  </si>
  <si>
    <t>IP 1/2 con 5 IP</t>
  </si>
  <si>
    <t>Observación</t>
  </si>
  <si>
    <t>Miles B/./Salida</t>
  </si>
  <si>
    <t>Cada salida utiliza 1 IP</t>
  </si>
  <si>
    <t>Cantidad</t>
  </si>
  <si>
    <t>VNR UNITARIO PROMEDIO Miles B/.</t>
  </si>
  <si>
    <t>ACTIVOS INCORPORADOS PARCIALMENTE</t>
  </si>
  <si>
    <t>(Miles de Balboas)</t>
  </si>
  <si>
    <t>FA =</t>
  </si>
  <si>
    <t xml:space="preserve">VNR DE PATIOS DE CONEXIÓN, POR NIVEL DE VOLTAJE Y CAPACIDAD DE TRANSMFORMACIÓN </t>
  </si>
  <si>
    <t>RRTef cxj</t>
  </si>
  <si>
    <t>QUE SE INCORPORAN</t>
  </si>
  <si>
    <t>1) PARA INSTALACIONES QUE SE INCORPORAN</t>
  </si>
  <si>
    <t>2) PARA INSTALACIONES CONSIDERADAS EN LOS CÁLCULOS TARIFARIOS</t>
  </si>
  <si>
    <t>(Balboas)</t>
  </si>
  <si>
    <t>Transformador</t>
  </si>
  <si>
    <t>salidas</t>
  </si>
  <si>
    <t>EQUIPO</t>
  </si>
  <si>
    <t xml:space="preserve">TOTAL: VNR </t>
  </si>
  <si>
    <t>VNR UNITARIO PROMEDIO</t>
  </si>
  <si>
    <t>CXS34.5 Barra Sencilla</t>
  </si>
  <si>
    <t>CXS34.5 Interruptor y Medio</t>
  </si>
  <si>
    <t>CXS115 Barra Sencilla</t>
  </si>
  <si>
    <t>CXS115 Interruptor y Medio</t>
  </si>
  <si>
    <t>CXS230 Interruptor y Medio</t>
  </si>
  <si>
    <t>CXL 115 KV Circuito Sencillo</t>
  </si>
  <si>
    <t>CARGOS POR CONEXIÓN</t>
  </si>
  <si>
    <t>EMPRESA DE TRANSMISIÓN ELÉCTRICA, S.A.</t>
  </si>
  <si>
    <t>CARGOS DE CONEXIÓN</t>
  </si>
  <si>
    <t>Miles B/./MVA</t>
  </si>
  <si>
    <t>Changuinola 34.5</t>
  </si>
  <si>
    <t>Barra sencilla con 2 IP</t>
  </si>
  <si>
    <t>Changuinola</t>
  </si>
  <si>
    <t>CXTR Reductor 60/80/100 MVA</t>
  </si>
  <si>
    <t>Considera las incorporaciones parciales</t>
  </si>
  <si>
    <t>INCORPORACION PARCIAL</t>
  </si>
  <si>
    <t>Incorporaciones del periodo</t>
  </si>
  <si>
    <t>115 - 17</t>
  </si>
  <si>
    <t>115 - 18</t>
  </si>
  <si>
    <t>Caldera - Paja de Sombrero</t>
  </si>
  <si>
    <t>115 - 19</t>
  </si>
  <si>
    <t>115 - 25</t>
  </si>
  <si>
    <t>Lineas</t>
  </si>
  <si>
    <t>N° del Circuito</t>
  </si>
  <si>
    <t>Longitud (km)</t>
  </si>
  <si>
    <t>N° Total de Torres</t>
  </si>
  <si>
    <t>Costo por kM</t>
  </si>
  <si>
    <t>Miles B/.Salida</t>
  </si>
  <si>
    <t>VALOR NUEVO DE REPOSICIÓN TIPIFICADO (Ajustado de acuerdo a costos eficientes de ASEP.)</t>
  </si>
  <si>
    <t>CONSIDERADAS (1)</t>
  </si>
  <si>
    <r>
      <t>OMTCT</t>
    </r>
    <r>
      <rPr>
        <b/>
        <vertAlign val="subscript"/>
        <sz val="10"/>
        <color indexed="9"/>
        <rFont val="Arial"/>
        <family val="2"/>
      </rPr>
      <t>cxj</t>
    </r>
  </si>
  <si>
    <r>
      <t xml:space="preserve">ADMCT </t>
    </r>
    <r>
      <rPr>
        <b/>
        <vertAlign val="subscript"/>
        <sz val="10"/>
        <color indexed="9"/>
        <rFont val="Arial"/>
        <family val="2"/>
      </rPr>
      <t>cxj</t>
    </r>
  </si>
  <si>
    <r>
      <t xml:space="preserve">DEPef </t>
    </r>
    <r>
      <rPr>
        <b/>
        <vertAlign val="subscript"/>
        <sz val="10"/>
        <color indexed="9"/>
        <rFont val="Arial"/>
        <family val="2"/>
      </rPr>
      <t>cxj</t>
    </r>
  </si>
  <si>
    <t>CXL 115 KV Circuito Sencillo 636 ACSR</t>
  </si>
  <si>
    <t>Miles B/./km</t>
  </si>
  <si>
    <t>Cuadro No.1</t>
  </si>
  <si>
    <t>CARGOS ANUALES POR CONEXIÓN</t>
  </si>
  <si>
    <t>Factor de Actualización</t>
  </si>
  <si>
    <t>Conexión</t>
  </si>
  <si>
    <t>ETESA</t>
  </si>
  <si>
    <t>Lineas de 115 kV</t>
  </si>
  <si>
    <t>Total - Conexión</t>
  </si>
  <si>
    <t>DATOS DE IMP</t>
  </si>
  <si>
    <t>(6)</t>
  </si>
  <si>
    <t>AL SISTEMA PRINCIPAL DE TRANSMISIÓN</t>
  </si>
  <si>
    <t>VNR Total</t>
  </si>
  <si>
    <t>Changuinola 115</t>
  </si>
  <si>
    <t>IP 1/2 con 8 IP</t>
  </si>
  <si>
    <t>(3) Representa el costo típico para líneas de 230 kV Circuito Sencillo con conductor 750 ACAR.</t>
  </si>
  <si>
    <t>N/A: No aplica</t>
  </si>
  <si>
    <t>Adición S/E El Higo (Las Guias)</t>
  </si>
  <si>
    <t>(1) Existentes y previstas dentro del Período Tarifario.</t>
  </si>
  <si>
    <t xml:space="preserve">CXTR Reductor 60/80/100 MVA </t>
  </si>
  <si>
    <t>FA</t>
  </si>
  <si>
    <t>CANTIDAD</t>
  </si>
  <si>
    <t>VNR incorporado</t>
  </si>
  <si>
    <t xml:space="preserve">INGRESO AÑO </t>
  </si>
  <si>
    <t xml:space="preserve">Reemplazos </t>
  </si>
  <si>
    <t>Reemplazos</t>
  </si>
  <si>
    <t>Miles B/.MVA</t>
  </si>
  <si>
    <t>Miles B/.km</t>
  </si>
  <si>
    <t>VNR - ASEP</t>
  </si>
  <si>
    <t>Meses de pago</t>
  </si>
  <si>
    <t>VALOR NUEVO DE REEMPLAZO EFICIENTE</t>
  </si>
  <si>
    <t>Fuentes:</t>
  </si>
  <si>
    <t>Control VNR SUB 2017 SPT.xlsx</t>
  </si>
  <si>
    <t>Control VNR SUB 2017 ESTRATEGICAS.xlsx</t>
  </si>
  <si>
    <t>Control VNR SUB 2017 CONEX.xlsx</t>
  </si>
  <si>
    <t>SUBESTACION
SPT</t>
  </si>
  <si>
    <t>VNR 230 KV</t>
  </si>
  <si>
    <t>VNR 115 KV</t>
  </si>
  <si>
    <t>VNR SPT
PRESENTACIÓN ETESA</t>
  </si>
  <si>
    <t>VNR SPT TOTAL
AJUSTADO</t>
  </si>
  <si>
    <t>AJUSTE</t>
  </si>
  <si>
    <t>Año</t>
  </si>
  <si>
    <t>Longitud</t>
  </si>
  <si>
    <t>Longitud por Circuito</t>
  </si>
  <si>
    <t>Aceptado Revisión 2013</t>
  </si>
  <si>
    <t>ETESA 2017</t>
  </si>
  <si>
    <t>2017 vs 2013
%</t>
  </si>
  <si>
    <t>PANAMA II</t>
  </si>
  <si>
    <t>230-1A/B,2A</t>
  </si>
  <si>
    <t>BAYANO - PACORA - PANAMA II</t>
  </si>
  <si>
    <t>PANAMA</t>
  </si>
  <si>
    <t>230-2A</t>
  </si>
  <si>
    <t xml:space="preserve">BAY - 24 DICIEMBRE </t>
  </si>
  <si>
    <t>230-2B</t>
  </si>
  <si>
    <t xml:space="preserve">24 DICIEMBRE - PANAMA II </t>
  </si>
  <si>
    <t>EL HIGO</t>
  </si>
  <si>
    <t>230-1C,2B</t>
  </si>
  <si>
    <t>PANAMA II - PANAMA</t>
  </si>
  <si>
    <t>230-3A,4A</t>
  </si>
  <si>
    <t>PANAMA - CHORRERA</t>
  </si>
  <si>
    <t>VELADERO</t>
  </si>
  <si>
    <t>230-3B,4B</t>
  </si>
  <si>
    <t>CHORRERA - LL.SANCHEZ</t>
  </si>
  <si>
    <t>GUASQUITAS</t>
  </si>
  <si>
    <t>LINEAS DE 230 kV</t>
  </si>
  <si>
    <t>230-5A,6A</t>
  </si>
  <si>
    <t>LL.SANCHEZ - VELADERO</t>
  </si>
  <si>
    <t xml:space="preserve">MATA DE NANCE </t>
  </si>
  <si>
    <t>DOBLE CIRCUITO</t>
  </si>
  <si>
    <t>230-5B,6B</t>
  </si>
  <si>
    <t>VELADERO - MATA NANCE</t>
  </si>
  <si>
    <t>230-7,8</t>
  </si>
  <si>
    <t>MATA NANCE - FORTUNA</t>
  </si>
  <si>
    <t>FORTUNA NAVE 3</t>
  </si>
  <si>
    <t>230-12,13</t>
  </si>
  <si>
    <t>LL.SANCHEZ - PANAMA II</t>
  </si>
  <si>
    <t>LA ESPERANZA NAVE 1</t>
  </si>
  <si>
    <t>230-14,15</t>
  </si>
  <si>
    <t>VELADERO - LL. SANCHEZ</t>
  </si>
  <si>
    <t>CAÑAZAS</t>
  </si>
  <si>
    <t>230-16,17</t>
  </si>
  <si>
    <t>GUASQUITAS - VELADERO</t>
  </si>
  <si>
    <t>CHANGUINOLA</t>
  </si>
  <si>
    <t>230-18, 29</t>
  </si>
  <si>
    <t>GUASQUITAS - FORTUNA (*)</t>
  </si>
  <si>
    <t>CACERES</t>
  </si>
  <si>
    <t>230-20A</t>
  </si>
  <si>
    <t>FORTUNA - LA ESPERANZA</t>
  </si>
  <si>
    <t>SANTA RITA</t>
  </si>
  <si>
    <t>230-20B</t>
  </si>
  <si>
    <t>LA ESPERANZA - CHANGUINOLA</t>
  </si>
  <si>
    <t>CALDERA</t>
  </si>
  <si>
    <t>230-29</t>
  </si>
  <si>
    <t>GUASQUITAS - CAÑAZAS</t>
  </si>
  <si>
    <t>230-30</t>
  </si>
  <si>
    <t>CAÑAZAS - CHANGUINOLA</t>
  </si>
  <si>
    <t>SUBESTACION
ESTRATÉGICAS</t>
  </si>
  <si>
    <t>VNR
ESTRATÉGICAS ETESA</t>
  </si>
  <si>
    <t>VNR
AJUSTADO
ESTRATÉGICAS</t>
  </si>
  <si>
    <t>(*) Pasa a Circuito Sencillo en VNR 2017</t>
  </si>
  <si>
    <t>Valores expresados en Balboas</t>
  </si>
  <si>
    <t>BOQUERON III</t>
  </si>
  <si>
    <t>SAN BARTOLO</t>
  </si>
  <si>
    <t>230-9A</t>
  </si>
  <si>
    <t>MATA NANCE - BOQUERON III</t>
  </si>
  <si>
    <t>230-9B</t>
  </si>
  <si>
    <t>BOQUERON III - PROGRESO</t>
  </si>
  <si>
    <t>SUBESTACION
CONEXIÓN</t>
  </si>
  <si>
    <t>VNR
230 KV</t>
  </si>
  <si>
    <t>VNR
115 KV</t>
  </si>
  <si>
    <t>VNR
34 KV</t>
  </si>
  <si>
    <t>VNR PRESENTACIÓN ETESA</t>
  </si>
  <si>
    <t>VNR CONEXIÓN
AJUSTADO</t>
  </si>
  <si>
    <t>CIRCUITO SENCILLO</t>
  </si>
  <si>
    <t>230-10</t>
  </si>
  <si>
    <t>PROGRESO - FRONTERA</t>
  </si>
  <si>
    <t>230-21</t>
  </si>
  <si>
    <t>CHANGUINOLA - FRONTERA</t>
  </si>
  <si>
    <t>E LHIGO</t>
  </si>
  <si>
    <t>230- XX</t>
  </si>
  <si>
    <t>DESVIACIÓN FORTUNA</t>
  </si>
  <si>
    <t>CHARCO AZUL</t>
  </si>
  <si>
    <t>115-1A,2A</t>
  </si>
  <si>
    <t xml:space="preserve">CACERES - STA. RITA </t>
  </si>
  <si>
    <t>LINEAS DE 115 kV</t>
  </si>
  <si>
    <t>115-1B,2B</t>
  </si>
  <si>
    <t>STA. RITA - BLM 1</t>
  </si>
  <si>
    <t>115-15,16</t>
  </si>
  <si>
    <t>MATA NANCE - CALDERA</t>
  </si>
  <si>
    <t>115-3A,3B,4A,4B</t>
  </si>
  <si>
    <t>BAHIA LAS MINAS - PANAMA</t>
  </si>
  <si>
    <t>115-12</t>
  </si>
  <si>
    <t>PANAMA - CACERES</t>
  </si>
  <si>
    <t>VNR 2008</t>
  </si>
  <si>
    <t>VNR 2012</t>
  </si>
  <si>
    <t>VNR ETESA</t>
  </si>
  <si>
    <t>115-37</t>
  </si>
  <si>
    <t>PANAMA - CACERES SUBT.</t>
  </si>
  <si>
    <t>Líneas SPT</t>
  </si>
  <si>
    <t>115-17</t>
  </si>
  <si>
    <t>CALDERA - LA ESTRELLA</t>
  </si>
  <si>
    <t>Líneas Conexión</t>
  </si>
  <si>
    <t>115-18</t>
  </si>
  <si>
    <t>CALDERA - LOS VALLES</t>
  </si>
  <si>
    <t>Subestaciones SPT</t>
  </si>
  <si>
    <t>115-19</t>
  </si>
  <si>
    <t>CALDERA - PAJA DE SOMBRERO</t>
  </si>
  <si>
    <t>Subestaciones Conexión</t>
  </si>
  <si>
    <t>115-25</t>
  </si>
  <si>
    <t>PROGRESO - CHARCO AZUL</t>
  </si>
  <si>
    <t>Subestaciones Estrategicas</t>
  </si>
  <si>
    <t>nd</t>
  </si>
  <si>
    <t>VNR LINEAS</t>
  </si>
  <si>
    <t>VNR Actual</t>
  </si>
  <si>
    <t>VNR Líneas 2016</t>
  </si>
  <si>
    <t>VNR SSEE SPT 2016</t>
  </si>
  <si>
    <t>VNR SSEE EST 2016</t>
  </si>
  <si>
    <t>Tercer Línea 2015 -2016</t>
  </si>
  <si>
    <t>SUBESTACION</t>
  </si>
  <si>
    <t>VNR [B./]</t>
  </si>
  <si>
    <t>TRAFOS</t>
  </si>
  <si>
    <t>RESTO</t>
  </si>
  <si>
    <t xml:space="preserve">CHORRERA Patio 230kV </t>
  </si>
  <si>
    <t xml:space="preserve">CHORRERA Patio 34kV </t>
  </si>
  <si>
    <t>LLANO SANCHEZ Patio 230kV</t>
  </si>
  <si>
    <t>LLANO SANCHEZ Patio 115kV</t>
  </si>
  <si>
    <t>LLANO SANCHEZ Patio 34kV</t>
  </si>
  <si>
    <t>MATA DE NANCE  Patio 34kV</t>
  </si>
  <si>
    <t>PROGRESO Patio 115kV</t>
  </si>
  <si>
    <t>PROGRESO Patio 34kV</t>
  </si>
  <si>
    <t>CHANGUINOLA Patio 115kV</t>
  </si>
  <si>
    <t>CHANGUINOLA Patio 34kV</t>
  </si>
  <si>
    <t>CHARCO AZUL Patio 115 kV</t>
  </si>
  <si>
    <t>2013-2017</t>
  </si>
  <si>
    <t>Progreso 230</t>
  </si>
  <si>
    <t>El Higo 230</t>
  </si>
  <si>
    <t>IP 1/2 con 11 IP</t>
  </si>
  <si>
    <t>Salidas</t>
  </si>
  <si>
    <t>AJUSTE VNR ETESA $</t>
  </si>
  <si>
    <t>Llano Sánchez Transformador 100MVA</t>
  </si>
  <si>
    <t>Chorrera Transformador 100MVA</t>
  </si>
  <si>
    <t>IPCT VNR</t>
  </si>
  <si>
    <t>VPN</t>
  </si>
  <si>
    <t>B/.MILES</t>
  </si>
  <si>
    <t>Administración</t>
  </si>
  <si>
    <t>Operación y Mantenimiento</t>
  </si>
  <si>
    <t>CONEXIÓN</t>
  </si>
  <si>
    <t>ACTCT (Activo bruto Conexión)</t>
  </si>
  <si>
    <t>ACTIVOS EXISTENTES (al final del año calendario)</t>
  </si>
  <si>
    <t>Tasa de Depreciación</t>
  </si>
  <si>
    <t>VNR CONEXIÓN
230 KV</t>
  </si>
  <si>
    <t>VNR CONEXIÓN
115 KV</t>
  </si>
  <si>
    <t>VNR CONEXIÓN
34 KV</t>
  </si>
  <si>
    <t>VNR CONEXION PRESENTACIÓN ETESA</t>
  </si>
  <si>
    <t>EMPRESA DE TRANSMISIÓN ELÉCTRICA S.A.</t>
  </si>
  <si>
    <t xml:space="preserve">PARÁMETROS Y VALORES UTILIZADOS EN EL CÁLCULO DE LOS INGRESOS MÁXIMOS  PERMITIDOS </t>
  </si>
  <si>
    <t>PARAMETROS IMP</t>
  </si>
  <si>
    <t>Tasa depreciación nuevas inversiones</t>
  </si>
  <si>
    <t>ACTIVOS RECONOCIDOS</t>
  </si>
  <si>
    <t>Valores Expresados en Miles de Balboas</t>
  </si>
  <si>
    <t>ACTSPT (Activo bruto Sistema Principal) + PG. Asignado a G y D</t>
  </si>
  <si>
    <t>ACTSPTL (Activo bruto Sistema Principal) + PG. Asignado a D</t>
  </si>
  <si>
    <t>ACTH (Activo bruto Hidro. Remanente)</t>
  </si>
  <si>
    <t>ACTNSPT (Activo Neto Sistema Principal) + PG. Asignado a G y D</t>
  </si>
  <si>
    <t>ACTNSPTL (Activo Neto Sistema Principal) + PG. Asignado a D</t>
  </si>
  <si>
    <t>ACTNTC (Activo Neto Conexión)</t>
  </si>
  <si>
    <t>ACTNH (Activo Neto Hidro. Remanente)</t>
  </si>
  <si>
    <t>ADICIONES (al final del año calendario)</t>
  </si>
  <si>
    <t>CONTROL SI/NO</t>
  </si>
  <si>
    <t>OBSERVACIONES</t>
  </si>
  <si>
    <t>ACTBAGyD (Adic Activo Bruto) + PG. Asignado a G y D</t>
  </si>
  <si>
    <t>NO</t>
  </si>
  <si>
    <t>70% Comunicaciones + Planta General según Plan de Expansión</t>
  </si>
  <si>
    <t>SI</t>
  </si>
  <si>
    <t>ACTBAD (Adic Activo Bruto) + PG. Asignado a D</t>
  </si>
  <si>
    <t>30% Comunicaciones + Planta General + Resto Plan Expansión Corto, Largo Plazo y Reposición sin Tercera Línea ni Santa Rita Panamá II</t>
  </si>
  <si>
    <t>ACTNAGyD (Adic Activo Neto) + PG. Asignado a G y D</t>
  </si>
  <si>
    <t>ACTNAD (Adic Activo Neto) + PG. Asignado a D</t>
  </si>
  <si>
    <t>ADICIONES Parciales (durante el año calendario)</t>
  </si>
  <si>
    <t>∆ACTBAD (TERCERA LÍNEA). Asignado a D</t>
  </si>
  <si>
    <t>Proporcional Tercera Línea</t>
  </si>
  <si>
    <t>∆ACTBAGyD (Adic Activo Bruto) + PG. Asignado a G y D</t>
  </si>
  <si>
    <t>∆ACTBAD (Adic Activo Bruto) + PG. Asignado a D</t>
  </si>
  <si>
    <t>∆ACTBAC (Adic Conexión)</t>
  </si>
  <si>
    <t>ACTIVOS EFICIENTES (VNR)</t>
  </si>
  <si>
    <t>ACTIVOS EXISTENTES (al final del año)</t>
  </si>
  <si>
    <t>ACTEGyDef (Sistema Principal + PG). Asignado a G y D</t>
  </si>
  <si>
    <t>ACTEDef (Sistema Principal + PG). Asignado a D</t>
  </si>
  <si>
    <t>ACTCTef (Conexión)</t>
  </si>
  <si>
    <t>ACTIVOS EFICIENTES ADICIONALES (Al final del año calendario)</t>
  </si>
  <si>
    <t>ACTAGyDef (Sistema Principal + PG). Asignado a G y D</t>
  </si>
  <si>
    <t>Inversiones en Planta General y Comunicaciones según Plan de Expansión</t>
  </si>
  <si>
    <t>ACTADef (Sistema Principal + PG). Asignado a D</t>
  </si>
  <si>
    <t>ACTCAef (Conexión)</t>
  </si>
  <si>
    <t>∆ACTAD (3era línea). Asignado a D</t>
  </si>
  <si>
    <t>∆ACTAGyD (parcial)</t>
  </si>
  <si>
    <t>∆ACTAD (parcial)</t>
  </si>
  <si>
    <t>∆ACTAC (parcial)</t>
  </si>
  <si>
    <t>INGRESOS MÁXIMOS PERMITIDOS POR ACTIVOS EXISTENTES</t>
  </si>
  <si>
    <t>ACTIVOS EXISTENTES. Asignados a G y D</t>
  </si>
  <si>
    <t>Depreciación</t>
  </si>
  <si>
    <t>Rentabilidad sobre Activos</t>
  </si>
  <si>
    <t>Generación Obligada</t>
  </si>
  <si>
    <t>Estudio PEST y por gestión de compra de potencia y energía</t>
  </si>
  <si>
    <t>Preliminar (Promedio Semestral según Solicitud ETESA en Período Tarifario 2013 - 2017)</t>
  </si>
  <si>
    <t>Total</t>
  </si>
  <si>
    <t>ACTIVOS EXISTENTES. Asignados a D</t>
  </si>
  <si>
    <t>Crédito por Restricción Tercera Línea</t>
  </si>
  <si>
    <t>ACTIVOS ADICIONALES. Asignados a G y D</t>
  </si>
  <si>
    <t>Diferido Proximo Período</t>
  </si>
  <si>
    <t>Operación y Mantenimiento. OMSPAGyD</t>
  </si>
  <si>
    <t>Adicional O&amp;M. ∆OMSPAGyD</t>
  </si>
  <si>
    <t>Administración. ADMSPAGyD</t>
  </si>
  <si>
    <t>Adicional Administración. ∆ADMSPAGyD</t>
  </si>
  <si>
    <t>Adicional Depreciación.  ∆DepSPAGyD</t>
  </si>
  <si>
    <t>Adicional Rentabilidad.  ∆RentSPAGyD</t>
  </si>
  <si>
    <t>ACTIVOS ADICIONALES. Asignados a D</t>
  </si>
  <si>
    <t>Operación y Mantenimiento. OMSPAD</t>
  </si>
  <si>
    <t>Adicional O&amp;M. ∆OMSPAD</t>
  </si>
  <si>
    <t>Administración. ADMSPAD</t>
  </si>
  <si>
    <t>Adicional Administración. ∆ADMSPAD</t>
  </si>
  <si>
    <t>Adicional Depreciación.  ∆DepSPAD</t>
  </si>
  <si>
    <t>Adicional Rentabilidad.  ∆RentSPAD</t>
  </si>
  <si>
    <t>SERVICIO DE OPERACIÓN INTEGRADA (SOI)</t>
  </si>
  <si>
    <t>Centro Nacional de Despacho</t>
  </si>
  <si>
    <t>Hidrometeorología</t>
  </si>
  <si>
    <t>INGRESO ANUAL PERMITIDO EXISTENTE (Año Tarifario)</t>
  </si>
  <si>
    <t>VNA</t>
  </si>
  <si>
    <t>IPSPEGyD. EXISTENTE</t>
  </si>
  <si>
    <t>IPSPED. EXISTENTE</t>
  </si>
  <si>
    <t>IPSPEGyD. EXISTENTE. CONSTANTE</t>
  </si>
  <si>
    <t>IPSPED. EXISTENTE. CONSTANTE</t>
  </si>
  <si>
    <t>INGRESO ANUAL PERMITIDO (Año Tarifario)</t>
  </si>
  <si>
    <t>SISTEMA PRINCIPAL Asignado a G y D</t>
  </si>
  <si>
    <t>IPSPAGyD. ADICIONAL</t>
  </si>
  <si>
    <t>IPSPGyD. TOTAL</t>
  </si>
  <si>
    <t>SISTEMA PRINCIPAL Asignado a D</t>
  </si>
  <si>
    <t>IPSPAD. ADICIONAL</t>
  </si>
  <si>
    <t>IPSPD. TOTAL</t>
  </si>
  <si>
    <t>SERVICIO DE OPERACIÓN INTEGRADA</t>
  </si>
  <si>
    <t>SOI TOTAL</t>
  </si>
  <si>
    <t>IMP EXISTENTE TOTAL</t>
  </si>
  <si>
    <t xml:space="preserve">FACTOR DE ACTUALIZACIÓN </t>
  </si>
  <si>
    <t>VPN del IMP (Año Tarifario) (A comienzos del período tarifario)</t>
  </si>
  <si>
    <t>VPN 2013 - 2017</t>
  </si>
  <si>
    <t>VPN 2017 - 2021</t>
  </si>
  <si>
    <t>Delta VPN 
2017 -2021 vs
 2013 - 2016</t>
  </si>
  <si>
    <t>SPT GyD</t>
  </si>
  <si>
    <t>SPT D</t>
  </si>
  <si>
    <t>SOI</t>
  </si>
  <si>
    <t>IMP Existente</t>
  </si>
  <si>
    <t>Variación Anual 2017 - 2021</t>
  </si>
  <si>
    <t>Incremento Anual Acumulado 2017 - 2021</t>
  </si>
  <si>
    <t>jul17-jun18</t>
  </si>
  <si>
    <t>jul18-jun19</t>
  </si>
  <si>
    <t>jul19-jun20</t>
  </si>
  <si>
    <t>jul20-jun21</t>
  </si>
  <si>
    <t>jul13-jun14</t>
  </si>
  <si>
    <t>jul14-jun15</t>
  </si>
  <si>
    <t>jul15-jun16</t>
  </si>
  <si>
    <t>jul16-jun17</t>
  </si>
  <si>
    <t>SUB TOTAL</t>
  </si>
  <si>
    <t>ACTIVOS EXISTENTES</t>
  </si>
  <si>
    <t>SPT. Asignado a Generación y Demanda</t>
  </si>
  <si>
    <t>Tasa de depreciación activos</t>
  </si>
  <si>
    <t>Activos brutos al comienzo del año</t>
  </si>
  <si>
    <t>Activos netos al comienzo del año</t>
  </si>
  <si>
    <t>Depreciación Anual</t>
  </si>
  <si>
    <t>Activos brutos al final del año</t>
  </si>
  <si>
    <t>Activos netos al final del año</t>
  </si>
  <si>
    <t>Depreciación Acumulada</t>
  </si>
  <si>
    <t>Activos netos al final del año (verificación)</t>
  </si>
  <si>
    <t>SPT. Asignado a Demanda (3° línea)</t>
  </si>
  <si>
    <t>Inversiones. Asignado a Demanda (3° línea)</t>
  </si>
  <si>
    <t>Inversión anual</t>
  </si>
  <si>
    <t>Inversión (proporcional)</t>
  </si>
  <si>
    <t>Tasa de depreciación</t>
  </si>
  <si>
    <t>Planta General (#). Asignado a Generación y Demanda</t>
  </si>
  <si>
    <t>Tasa de depreciación retiros</t>
  </si>
  <si>
    <t>Retiros</t>
  </si>
  <si>
    <t>Planta General (#). Asignado a Demanda</t>
  </si>
  <si>
    <t>(#) No aplica Artículo 186 Reglamento de Transmisión</t>
  </si>
  <si>
    <t>SPT + Planta General Asignado a Generación y Demanda</t>
  </si>
  <si>
    <t>SPT + Planta General Asignado a Demanda</t>
  </si>
  <si>
    <t>INVERSIONES</t>
  </si>
  <si>
    <t>Tasa de depreciación de inversiones</t>
  </si>
  <si>
    <t>Inversión Planta General</t>
  </si>
  <si>
    <t>Asignada a Generación y Demanda</t>
  </si>
  <si>
    <t>Asignada a Demanda</t>
  </si>
  <si>
    <t>Inversión anual Sistema Principal Transmisión</t>
  </si>
  <si>
    <t>Inversion anual Comunicaciones</t>
  </si>
  <si>
    <t>Inversión anual Estrategica (no suma en la base)</t>
  </si>
  <si>
    <t>ADICIONES</t>
  </si>
  <si>
    <t>Inversiones</t>
  </si>
  <si>
    <t>PLAN DEL SISTEMA DE TRANSMISIÓN DE CORTO PLAZO</t>
  </si>
  <si>
    <t>PLAN DEL SISTEMA DE TRANSMISIÓN DE LARGO PLAZO</t>
  </si>
  <si>
    <t xml:space="preserve">PLAN DE REPOSICIÓN </t>
  </si>
  <si>
    <t>Inversión corto, largo plazo y reposición</t>
  </si>
  <si>
    <t>Inversión anual SPT. Asignada a Generación y Demanda</t>
  </si>
  <si>
    <t>Inversión anual SPT. Asignada a Demanda</t>
  </si>
  <si>
    <t>Inversión anual Planta General (PG)</t>
  </si>
  <si>
    <t>Inversión anual PG (incluye Comunicaciones). Asignada a G y D</t>
  </si>
  <si>
    <t>Inversión anual PG (incluye comunicaciones). Asignada a D</t>
  </si>
  <si>
    <t>Adiciones Sistema Principal Transmisión. Asignada a G y D</t>
  </si>
  <si>
    <t>Activos netos al final del año calendario</t>
  </si>
  <si>
    <t>Activos brutos al final del año calendario</t>
  </si>
  <si>
    <t>Activos netos al final del año calendario (verificación)</t>
  </si>
  <si>
    <t>Adiciones Sistema Principal Transmisión</t>
  </si>
  <si>
    <t xml:space="preserve"> Asignada a D</t>
  </si>
  <si>
    <t>Adiciones Planta General</t>
  </si>
  <si>
    <t>Asignada a G y D</t>
  </si>
  <si>
    <t>Asignada a D</t>
  </si>
  <si>
    <t>Adiciones. Sistema Principal de Transmisión + Pta Gral.</t>
  </si>
  <si>
    <t>Asignado a G y D</t>
  </si>
  <si>
    <t>Depreciación Año calendario</t>
  </si>
  <si>
    <t>Asignado a D</t>
  </si>
  <si>
    <t>ACTIVOS BRUTOS CONEXIÓN TRANSPORTE</t>
  </si>
  <si>
    <t>ACTIVOS NETOS CONEXIÓN TRANSPORTE</t>
  </si>
  <si>
    <t>Sistema Principal de Transmisión. Asignado a G y D</t>
  </si>
  <si>
    <t>Sistema Principal de Transmisión. Asignado a D</t>
  </si>
  <si>
    <t>Planta General + Activos Estratégicos. Asignado a G y D</t>
  </si>
  <si>
    <t>Planta General + Activos Estratégicos. Asignado a D</t>
  </si>
  <si>
    <t>Conexiones (incluye adiciones)</t>
  </si>
  <si>
    <t>ADICIONES ACUMULADAS (al final del año calendario)</t>
  </si>
  <si>
    <t>ADICIONES PROPORCIONALES (al final del año calendario)</t>
  </si>
  <si>
    <t>dic-16-jun-17</t>
  </si>
  <si>
    <t>jul-17-jun-18</t>
  </si>
  <si>
    <t>jul-18-jun-19</t>
  </si>
  <si>
    <t>jul-19-jun-20</t>
  </si>
  <si>
    <t>jul-20-jun-21</t>
  </si>
  <si>
    <t>1er Semestre Año Tarifario</t>
  </si>
  <si>
    <t>2do Semestre Año Tarifario</t>
  </si>
  <si>
    <t>Adiciones Sistema Principal Transmisión. Asignada a D</t>
  </si>
  <si>
    <t>Adiciones Planta General. Asignada a G y D</t>
  </si>
  <si>
    <t>Adiciones Planta General. Asignada a D</t>
  </si>
  <si>
    <t>% del año tarifario activado. 1er Semestre Año Tarifario</t>
  </si>
  <si>
    <t>% del año tarifario activado. 2do Semestre Año Tarifario</t>
  </si>
  <si>
    <t>Composición</t>
  </si>
  <si>
    <t>230 kV + PG</t>
  </si>
  <si>
    <t>115 KV</t>
  </si>
  <si>
    <t>Adiciones SP +  PG. Asignada a G y D. Activada durante el año</t>
  </si>
  <si>
    <t>Adiciones SP +  PG. Asignada a D. Activada durante el año</t>
  </si>
  <si>
    <t>HIDROMETEOROLOGÍA</t>
  </si>
  <si>
    <t>ACTIVOS EFICIENTES</t>
  </si>
  <si>
    <t>VNR Sistema Principal</t>
  </si>
  <si>
    <t>VNR Planta General</t>
  </si>
  <si>
    <t>VNR Estrategicos</t>
  </si>
  <si>
    <t>VNR EFICIENTE (SPT_ESTRATEGICAS_PLANTA GENERAL)</t>
  </si>
  <si>
    <t>VNR asignado a demanda</t>
  </si>
  <si>
    <t>VNR Conexiones</t>
  </si>
  <si>
    <t>Verificación Artículo 186 Reglamento de Transmisión (Tope 10%)</t>
  </si>
  <si>
    <t>Valor libro Equipo de Comunicación de Planta General</t>
  </si>
  <si>
    <t>Balboas</t>
  </si>
  <si>
    <t>Relacion entre VNR SPT y Valor libro SPT</t>
  </si>
  <si>
    <t>x</t>
  </si>
  <si>
    <t>VNR Equipo de comunicación</t>
  </si>
  <si>
    <t>Activos Contables Eficientes (Tope Artículo 186 RT)</t>
  </si>
  <si>
    <t>Verificación del Artículo 186 Reglamento de Transmisión</t>
  </si>
  <si>
    <t>Activos Eléctricos (AE) valor libros (SPT+EC)</t>
  </si>
  <si>
    <t>Activos No Eléctricos (ANE) - valor de libros sin EC</t>
  </si>
  <si>
    <t>ANE/AE</t>
  </si>
  <si>
    <t>Activos PG Tope 10%</t>
  </si>
  <si>
    <t>Mínimo</t>
  </si>
  <si>
    <t>Porcentaje Eficiente Resultante</t>
  </si>
  <si>
    <t>Llano Sánchez 230</t>
  </si>
  <si>
    <t>SUBESTACION CHORRERA 230 KV</t>
  </si>
  <si>
    <t>ITEM N°</t>
  </si>
  <si>
    <t>DESCRIPCION</t>
  </si>
  <si>
    <t>Costo Unitario Suministro B/.</t>
  </si>
  <si>
    <t xml:space="preserve">Total Suministro B/. </t>
  </si>
  <si>
    <t>Interruptores 115 KV</t>
  </si>
  <si>
    <t>Interruptores 115 KV, Tripolar con seccionamiento y puesta a tierra incorporado</t>
  </si>
  <si>
    <t>Cuchillas Tripolares Motorizadas con cuchilla a tierra 115 KV</t>
  </si>
  <si>
    <t>Cuchillas Tripolares Motorizadas sin cuchilla a tierra 115 KV</t>
  </si>
  <si>
    <t>Cuchillas Tripolares manuales sin cuchilla a tierra 115 KV</t>
  </si>
  <si>
    <t>Cuchillas Tripolares manuales con cuchilla a tierra 115 KV</t>
  </si>
  <si>
    <t>Interruptores 230 KV, de disparo monopolar</t>
  </si>
  <si>
    <t>Interruptores 230 KV, de disparo tripolar</t>
  </si>
  <si>
    <t>Cuchillas Tripolares Motorizadas con cuchilla a tierra 230 KV para Reactor</t>
  </si>
  <si>
    <t>Cuchillas Tripolares Motorizadas con cuchilla a tierra 230 KV</t>
  </si>
  <si>
    <t>Cuchillas Tripolares Motorizadas sin cuchilla a tierra 230 KV</t>
  </si>
  <si>
    <t>Cuchillas Tripolares manuales sin cuchilla a tierra 230 KV</t>
  </si>
  <si>
    <t>Pararrayos 192 KV</t>
  </si>
  <si>
    <t>Pararrayos 96 KV</t>
  </si>
  <si>
    <t>CT 230 KV</t>
  </si>
  <si>
    <t>CT 115 KV</t>
  </si>
  <si>
    <t xml:space="preserve">PT 230 KV </t>
  </si>
  <si>
    <t xml:space="preserve">PT 115 KV </t>
  </si>
  <si>
    <t>PT de Potencia y Potencial 115 kV</t>
  </si>
  <si>
    <t xml:space="preserve">Autotrasformador de Potencia 230/115/13.8 kV 210/280/350 MVA </t>
  </si>
  <si>
    <t xml:space="preserve">Autotrasformador de Potencia 230/115/13.8 kV 105/140/175 MVA </t>
  </si>
  <si>
    <t xml:space="preserve">Transformadores 230/115 KV 100/120/150 MVA </t>
  </si>
  <si>
    <t xml:space="preserve">Autotrasformador de Potencia 230/115/34.5 kV y 100 MVA </t>
  </si>
  <si>
    <t xml:space="preserve">Autotrasformador de Potencia 230/115/34.5 kV y 50 MVA </t>
  </si>
  <si>
    <t>Transformador de Potencia 115/4,16 kV. y 24 MVA</t>
  </si>
  <si>
    <t>Transformador de Puesta  a Tierra 5 MVA , 34.5 kV</t>
  </si>
  <si>
    <t>Sistema de extinción de incendio para transformadores</t>
  </si>
  <si>
    <t>Reactor Trifásico de 20 MVAR, 230 kV</t>
  </si>
  <si>
    <t>Reactor Trifásico de 20 MVAR, 34.5 kV</t>
  </si>
  <si>
    <t>Banco de Capacitores 230 kV 30 MVAR</t>
  </si>
  <si>
    <t>Banco de Capacitores 115 kV 15 MVAR</t>
  </si>
  <si>
    <t>Interruptores 34.5 KV</t>
  </si>
  <si>
    <t>Cuchillas Tripolares manuales sin cuchilla a tierra 34.5 KV</t>
  </si>
  <si>
    <t>Cuchillas Tripolares manuales con cuchilla a tierra 34.5 KV</t>
  </si>
  <si>
    <t>Cuchillas Tripolares Motorizadas sin cuchilla a tierra 34.5 KV</t>
  </si>
  <si>
    <t>Pararrayos 34.5 KV</t>
  </si>
  <si>
    <t xml:space="preserve">PT 34.5KV </t>
  </si>
  <si>
    <t>CT 34.5 KV</t>
  </si>
  <si>
    <t>SUBTOTAL DE EQUIPOS</t>
  </si>
  <si>
    <t>SUBTOTAL DE EQUIPOS, SIN EQUIPOS DE TRANSFORMACIÓN Y REGULACIÓN</t>
  </si>
  <si>
    <t>% Sobre ítemes de Costos Unitario Sin Equipos de Transformación y Regulación</t>
  </si>
  <si>
    <t>Sistema de puesta a tierra</t>
  </si>
  <si>
    <t>lote</t>
  </si>
  <si>
    <t>Servicios auxiliares</t>
  </si>
  <si>
    <t xml:space="preserve">Herrajes, Estructuras y Soportes </t>
  </si>
  <si>
    <t>Equipo de Protección,  Control y Monitoreo</t>
  </si>
  <si>
    <t>Equipo de Comunicaciones</t>
  </si>
  <si>
    <t>Cables, conductores, ductos, etc.</t>
  </si>
  <si>
    <t>SUB TOTAL SUMINISTRO</t>
  </si>
  <si>
    <t>% sobre Subtotal Suministro</t>
  </si>
  <si>
    <t xml:space="preserve">Montaje </t>
  </si>
  <si>
    <t>Obras Civiles Generales</t>
  </si>
  <si>
    <t>vnr de llano sanchez de 15.5mm considera</t>
  </si>
  <si>
    <t>TOTAL COSTO BASE</t>
  </si>
  <si>
    <t>transfos</t>
  </si>
  <si>
    <t>% sobre Total Costo Base</t>
  </si>
  <si>
    <t>patio 230</t>
  </si>
  <si>
    <t>Contingencias</t>
  </si>
  <si>
    <t>Diseño</t>
  </si>
  <si>
    <t>ajustes a vnr</t>
  </si>
  <si>
    <t>Ingeniería</t>
  </si>
  <si>
    <t>Inspección</t>
  </si>
  <si>
    <t>vnr ajustado</t>
  </si>
  <si>
    <t>IDC</t>
  </si>
  <si>
    <t>EIA</t>
  </si>
  <si>
    <t>Terrenos</t>
  </si>
  <si>
    <t>m2</t>
  </si>
  <si>
    <t>COSTO TOTAL</t>
  </si>
  <si>
    <t>100ma</t>
  </si>
  <si>
    <t>factor de ajuste</t>
  </si>
  <si>
    <t>50mva</t>
  </si>
  <si>
    <t>SUBESTACION LLANO SANCHEZ 230 KV</t>
  </si>
  <si>
    <t xml:space="preserve">Autotrasformador de Potencia 230/115 kV 100 MVA </t>
  </si>
  <si>
    <t xml:space="preserve">Transformadores 230/115 KV 100 MVA </t>
  </si>
  <si>
    <t xml:space="preserve">Autotrasformador de Potencia 230/115/34.5 kV y 70 MVA </t>
  </si>
  <si>
    <t>100MVA</t>
  </si>
  <si>
    <t>70MVA</t>
  </si>
  <si>
    <t>SUBESTACION CHARCO AZUL 115/34.5  KV</t>
  </si>
  <si>
    <t>Transformador de Potencia 115/4.16 KV 24 MVA</t>
  </si>
  <si>
    <t>VNR 230 KV Ajustado</t>
  </si>
  <si>
    <t>VNR 115 KV Ajustado</t>
  </si>
  <si>
    <t>VNR Ajustado
230 KV</t>
  </si>
  <si>
    <t>VNR Ajustado
115 KV</t>
  </si>
  <si>
    <t>VNR Ajustado
34 KV</t>
  </si>
  <si>
    <t>VNR LINEAS SPT</t>
  </si>
  <si>
    <t>VNR LINEAS CONEXIÓN</t>
  </si>
  <si>
    <t>LINEA DE TRANSMISION CONEXIÓN</t>
  </si>
  <si>
    <t>TOTAL VNR S/E</t>
  </si>
  <si>
    <t>TOTAL VNR L/T</t>
  </si>
  <si>
    <t xml:space="preserve">PARÁMETROS Y VALORES UTILIZADOS EN EL CÁLCULO DE LOS INGRESOS MÁXIMOS PERMITIDOS </t>
  </si>
  <si>
    <t>VERIFICACIÓN DE INGRESOS</t>
  </si>
  <si>
    <t>INGRESO</t>
  </si>
  <si>
    <t>AÑO 1</t>
  </si>
  <si>
    <t>AÑO 2</t>
  </si>
  <si>
    <t>AÑO 3</t>
  </si>
  <si>
    <t>AÑO 4</t>
  </si>
  <si>
    <t xml:space="preserve">TOTAL </t>
  </si>
  <si>
    <t>Valor Presente de Ingresos resultantes de aplicaciónd de Cargos</t>
  </si>
  <si>
    <t xml:space="preserve">   Diferencia de Aplicación menos permitido (en millones balboas)</t>
  </si>
  <si>
    <t xml:space="preserve">    Difrencia en porcentaje</t>
  </si>
  <si>
    <t>IMP ASEP-ETESA</t>
  </si>
  <si>
    <t>Valor Presente de Ingresoso resultantes de la aplicación de cargos</t>
  </si>
  <si>
    <t>Diferencia de Aplicación menos permitido</t>
  </si>
  <si>
    <t>Diferencia en porcentaje</t>
  </si>
  <si>
    <t>EMPRESA DE TRANSMISIÓN ELÉCRICA S.A.</t>
  </si>
  <si>
    <t>INGRESO POR CARGS DE CONEXIÓN</t>
  </si>
  <si>
    <t>PRIMER SEMESTRE AÑO TARIFARIO No. 1 ( 1ro de julio  2017 al 31 de diciembre 2017)</t>
  </si>
  <si>
    <t>INGRESO TOTAL USO DEL SISTEMA PRINCIPAL DE TRANSMISION</t>
  </si>
  <si>
    <t>INGRESO TOTAL CONEXIÓN</t>
  </si>
  <si>
    <t>INGRESO TOTAL POR OPERACIÓN INTEGRADA</t>
  </si>
  <si>
    <t>INGRESO TOTAL ETESA</t>
  </si>
  <si>
    <t>(preliminar)</t>
  </si>
  <si>
    <t>BURUNGA 230</t>
  </si>
  <si>
    <t>EMPRESA DE TRANSMISIÓN ELÉCTRICA S. A.</t>
  </si>
  <si>
    <t xml:space="preserve">PLAN DE INVERSIÓN  </t>
  </si>
  <si>
    <t>PROYECTOS DE EXPANSIÓN DEL SISTEMA DE TRANSMISIÓN</t>
  </si>
  <si>
    <t>(MILES DE B/.)</t>
  </si>
  <si>
    <t>Fecha puesta en servicio</t>
  </si>
  <si>
    <t>Proporción del año en servicio</t>
  </si>
  <si>
    <t>hasta</t>
  </si>
  <si>
    <t xml:space="preserve">Observación </t>
  </si>
  <si>
    <t>ADICION BANCO CAPACITORES 40 MVAR STA. RITA 115 KV 2x20 MVAR</t>
  </si>
  <si>
    <t>PLAN DEL SISTEMA DE COMUNICACIONES</t>
  </si>
  <si>
    <t xml:space="preserve">REPOSICIÓN DE CORTO PLAZO </t>
  </si>
  <si>
    <t>CENTRO DE MONITOREO Y CONTROL</t>
  </si>
  <si>
    <t>REPOSICIÓN DE LARGO PLAZO</t>
  </si>
  <si>
    <t>SISTEMA DE CONEXIÓN</t>
  </si>
  <si>
    <t>S/E 24 DE DICIEMBRE 230 KV 1 NAVE</t>
  </si>
  <si>
    <t>NUEVA SUBESTACION BURUNGA 230 KV</t>
  </si>
  <si>
    <t>PLAN DE PLANTA GENERAL</t>
  </si>
  <si>
    <t>PLAN ESTRATEGICO</t>
  </si>
  <si>
    <t>ADICION TRANSFORMADOR T3 S/E BOQUERON III 230/34.5 KV</t>
  </si>
  <si>
    <t>Proporción de inversión</t>
  </si>
  <si>
    <t>Comunicación</t>
  </si>
  <si>
    <t>Inversiones Estratégicas</t>
  </si>
  <si>
    <t>Planta General</t>
  </si>
  <si>
    <t>Chequeo</t>
  </si>
  <si>
    <t>Compensación Subestación Burunga</t>
  </si>
  <si>
    <t>VNR SPT
ACEPTADO 2017</t>
  </si>
  <si>
    <t>Sub SPT D</t>
  </si>
  <si>
    <t>BELLA VISTA NAVE 2</t>
  </si>
  <si>
    <t>Resumen</t>
  </si>
  <si>
    <t>LINEAS DE 230 kV DOBLE CIRCUITO</t>
  </si>
  <si>
    <t>BAYANO - PACORA *</t>
  </si>
  <si>
    <t>PACORA - PANAMA II *</t>
  </si>
  <si>
    <t>BAY - 24 DICIEMBRE *</t>
  </si>
  <si>
    <t>24 DICIEMBRE - PANAMA II *</t>
  </si>
  <si>
    <t>CHORRERA - EL HIGO</t>
  </si>
  <si>
    <t>230-3C,4C</t>
  </si>
  <si>
    <t>EL HIGO - LL.SANCHEZ</t>
  </si>
  <si>
    <t>230-6A</t>
  </si>
  <si>
    <t>LLANO SANCHEZ - BELLA VISTA</t>
  </si>
  <si>
    <t>230-6B</t>
  </si>
  <si>
    <t xml:space="preserve">BELLA VISTA - VELADERO </t>
  </si>
  <si>
    <t>230-12A,13A</t>
  </si>
  <si>
    <t>230-12B,13B</t>
  </si>
  <si>
    <t>230-14A,15A</t>
  </si>
  <si>
    <t>LL. SANCHEZ - S. BARTOLO</t>
  </si>
  <si>
    <t>230-14B,15B</t>
  </si>
  <si>
    <t>S. BARTOLO - VELADERO</t>
  </si>
  <si>
    <t>VELADERO - GUASQUTAS</t>
  </si>
  <si>
    <t>GUASQUITAS - FORTUNA</t>
  </si>
  <si>
    <t>230-54,55</t>
  </si>
  <si>
    <t>CHORRERA - PANAMA</t>
  </si>
  <si>
    <t>LLANO SANCHEZ - CHORRERA</t>
  </si>
  <si>
    <t>230-51,52</t>
  </si>
  <si>
    <t>VELADERO - LLANO SANCHEZ</t>
  </si>
  <si>
    <t>Ajustado vs ETESA</t>
  </si>
  <si>
    <t>LINEAS DE 230 kV CIRCUITO SENCILLO</t>
  </si>
  <si>
    <t>115-3A</t>
  </si>
  <si>
    <t>PANAMA - CHILIBRE ***</t>
  </si>
  <si>
    <t>115-3B</t>
  </si>
  <si>
    <t>CHILIBRE - LAS MINAS 2 ***</t>
  </si>
  <si>
    <t>115-4A</t>
  </si>
  <si>
    <t>PANAMA - CEMENTO PANAMA ***</t>
  </si>
  <si>
    <t>115-4B</t>
  </si>
  <si>
    <t>LINEAS DE 115 kV DOBLE CIRCUITO</t>
  </si>
  <si>
    <t>LINEAS DE 115 kV CIRCUITO SENCILLO</t>
  </si>
  <si>
    <t>25% asignado a demanda naves 6 y 7</t>
  </si>
  <si>
    <t>25% asignado a demanda</t>
  </si>
  <si>
    <t>25% asognadp a demamda</t>
  </si>
  <si>
    <t>VNR SPT Asignado a GyD</t>
  </si>
  <si>
    <t>2022-2023</t>
  </si>
  <si>
    <t>2023-2024</t>
  </si>
  <si>
    <t>FA = VP del IPCT / VP del IPCTvnr  (según Modelo IMP)</t>
  </si>
  <si>
    <t xml:space="preserve"> VP del IPCT </t>
  </si>
  <si>
    <t>S/E EL COCO 230 KV 2 NAVES</t>
  </si>
  <si>
    <t>S/E PACORA 230 KV 1 NAVE</t>
  </si>
  <si>
    <t>En Ejecucion o por Refrendo</t>
  </si>
  <si>
    <t>Por Licitar</t>
  </si>
  <si>
    <t>LÍNEA TELFERS - SABANITAS 230 KV</t>
  </si>
  <si>
    <t>NUEVA S/E CACERES 115 KV GIS</t>
  </si>
  <si>
    <t>NUEVA S/E CALDERA 230/115/34.5 KV</t>
  </si>
  <si>
    <t>SISTEMA DE VIDEO VIGILANCIA DE SUBESTACIONES</t>
  </si>
  <si>
    <t>CERCAS PERIMETRALES PARA SUBESTACIONES</t>
  </si>
  <si>
    <t>ADICION TRANSFORMADOR DE TIERRA S/E SAN BARTOLO 34.5 KV</t>
  </si>
  <si>
    <t>Para Patios de 230/115/34</t>
  </si>
  <si>
    <t>Ingreso permitido por Año tarifario de IMP según Res. 17825</t>
  </si>
  <si>
    <t>Ingreso permitido por Año Tarifario de IMP según Res. An No. 17825</t>
  </si>
  <si>
    <t>SISTEMA PRINCIPAL Asignado a G y D - IPSPEGyD. EXISTENTE</t>
  </si>
  <si>
    <t>SISTEMA PRINCIPAL Asignado a D - IPSPED. EXISTENTE</t>
  </si>
  <si>
    <t>SERVICIO DE OPERACIÓN INTEGRADA - Centro Nacional de Despacho</t>
  </si>
  <si>
    <t>SERVICIO DE OPERACIÓN INTEGRADA- Centro Nacional de Despacho</t>
  </si>
  <si>
    <t>LA ESPERANZA</t>
  </si>
  <si>
    <t>BELLA VISTA</t>
  </si>
  <si>
    <t>Total Capacidad  (MW/circuito)</t>
  </si>
  <si>
    <t>Capacidad  GANA (MW)</t>
  </si>
  <si>
    <t>Capacidad Remanente</t>
  </si>
  <si>
    <t>% Asignación a la Generación</t>
  </si>
  <si>
    <t>% Asignación a la Demanda</t>
  </si>
  <si>
    <t>Factor Ajuste</t>
  </si>
  <si>
    <t>ACTSPT (Activo bruto Sistema Principal) + Planta General</t>
  </si>
  <si>
    <t xml:space="preserve">ACTNSPT (Activo Neto Sistema Principal) + Planta General </t>
  </si>
  <si>
    <t>ACTEGyDef (Sistema Principal + Planta General)</t>
  </si>
  <si>
    <t>Activos existentes - Sistema Principal de Transmisión (SPT)</t>
  </si>
  <si>
    <t>Sistema Principal de Transmisión  asignado a la Generación</t>
  </si>
  <si>
    <t>Sistema Principal de Transmisión  asignado a la Demanda</t>
  </si>
  <si>
    <t>Sistema de Conexión</t>
  </si>
  <si>
    <t>Descuento Inversiones no ejecutadas</t>
  </si>
  <si>
    <t>Servicio de Operación Integrada (SOI)</t>
  </si>
  <si>
    <t>jul25-jun26</t>
  </si>
  <si>
    <t>jul26-jun27</t>
  </si>
  <si>
    <t>jul27-jun28</t>
  </si>
  <si>
    <t>jul28-jun29</t>
  </si>
  <si>
    <t>IPSPEG. EXISTENTE</t>
  </si>
  <si>
    <t>IPSPEG. EXISTENTE. CONSTANTE</t>
  </si>
  <si>
    <t>SISTEMA PRINCIPAL Asignado a G - IPSPEG. EXISTENTE</t>
  </si>
  <si>
    <t>Miles de Balboas - 1° de julio de 2025</t>
  </si>
  <si>
    <t>meses (desde activación a diciembre del año)</t>
  </si>
  <si>
    <t>Monto Parcial</t>
  </si>
  <si>
    <t>Fecha</t>
  </si>
  <si>
    <t xml:space="preserve">LINEA DOBLE CTO. M. NANCE - FRONTERA 230 KV </t>
  </si>
  <si>
    <t>AUMENTO DE CAPACIDAD LT2 VELADERO - PANAMA II 230 KV 305 KM</t>
  </si>
  <si>
    <t>AUMENTO DE CAPACIDAD LT1 VEL-LLS-EHI-CHO-PAN 230 KV 192 KM</t>
  </si>
  <si>
    <t>LINEA SAB-S.RITA 230 KV, S/E STA. RITA 230 KV Y AD. SABANITAS 230 KV</t>
  </si>
  <si>
    <t>NUEVA LINEA PANAMA II - BAYANO 230 KV DOBLE CTO. 1200 ACAR.</t>
  </si>
  <si>
    <t xml:space="preserve">NUEVA S/E CHEPO 230 KV </t>
  </si>
  <si>
    <t>BANCO DE CAPACITORES S/E LLANO SANCHEZ 230 KV 60 MVAR</t>
  </si>
  <si>
    <t>STATCOM S/E PANAMA III +/- 240 MVAR</t>
  </si>
  <si>
    <t>ADICION TRANSFORMADOR T2 S/E SAN BARTOLO 150 MVA</t>
  </si>
  <si>
    <t>ADICION TRANSFORMADOR T3 S/E SAN BARTOLO 150 MVA</t>
  </si>
  <si>
    <t>AUMENTO DE CAPACIDAD LINEA PANAMA III - PANAMA 230 KV</t>
  </si>
  <si>
    <t>NUEVA S/E LA HUACA 230/115/34.5 KV</t>
  </si>
  <si>
    <t>LINEA LA HUACA - LOS OLIVOS 230 KV</t>
  </si>
  <si>
    <t>NUEVA S/E LOS OLIVOS 230/115/34.5 KV</t>
  </si>
  <si>
    <t>NUEVA S/E PROGRESO II 230/115/34.5 KV</t>
  </si>
  <si>
    <t>NUEVA S/E PANAMA 3 115 KV</t>
  </si>
  <si>
    <t>NUEVA S/E CHEPO 115/34.5 KV</t>
  </si>
  <si>
    <t>SISTEMA BESS EN S/E PANAMA 3 EN 230KV</t>
  </si>
  <si>
    <t>NUEVA S/E CHARCO AZUL 115/34.5 KV</t>
  </si>
  <si>
    <t>LINEA LT4 CHIRIQUI GRANDE - PANAMA III 500 KV OPERANDO EN 230 KV</t>
  </si>
  <si>
    <t>ADICION DE TRANSFORMADOR T3 S/E PROGRESO 2 230/115/34.5 KV</t>
  </si>
  <si>
    <t>ADICION DE TRANSFORMADOR  T4 S/E BOQUERON III 230/34.5 KV</t>
  </si>
  <si>
    <t>ADICION DE TRANSFORMADOR  T4 S/E LLANOS SANCHEZ 230/115/34.5 KV</t>
  </si>
  <si>
    <t>AUMENTO DE CAPACIDAD LT GUASQ-FORT-CH. GRANDE 230 KV</t>
  </si>
  <si>
    <t>LINEA LT4 CHIRIQUI GRANDE - PANAMA3 ELEVADA A 500 KV</t>
  </si>
  <si>
    <t>STATCOM EN S/E SABANITAS  +/- 120 MVAR</t>
  </si>
  <si>
    <t>ADICION DE TRANSFORMADOR  T4 S/E CHORRERA 230/115/34.5 KV</t>
  </si>
  <si>
    <t>REPOSICION DE ENLACES MICROONDAS</t>
  </si>
  <si>
    <t>REPOSICION DE TORRES DE COMUNICACIONES</t>
  </si>
  <si>
    <t>2023-2025</t>
  </si>
  <si>
    <t>REPOSICION DE RECTIFICADORES</t>
  </si>
  <si>
    <t>2021-2024</t>
  </si>
  <si>
    <t>REPOSICION BANCOS DE BATERIAS DE COMUNICACIONES</t>
  </si>
  <si>
    <t>2022-2025</t>
  </si>
  <si>
    <t>REPOSICION SISTEMA DE RADIO COMUNICACION DIGITAL ASTRO-25</t>
  </si>
  <si>
    <t>2023-2026</t>
  </si>
  <si>
    <t>REPOSICION EQUIPOS DE PRUEBA Y NED. RED DE TELECOMUNICACIONES</t>
  </si>
  <si>
    <t>ADQUISICIÓN DE NUEVOS SITIOS TRONCALES PARA MEJORAR COBERTURA EN LÍNEA 230-20/30</t>
  </si>
  <si>
    <t>ENLACE ÓPTICO SE MATA DEL NANCE-VALBUENA</t>
  </si>
  <si>
    <t xml:space="preserve">REEMPLAZO INTERRUPTORES S/E LA ESPERANZA 230 KV </t>
  </si>
  <si>
    <t>REEMPLAZO T3 S/E PANAMA 350 MVA</t>
  </si>
  <si>
    <t>REEMPLAZO BANCO BATERIAS S/E GUASQUITAS Y CAÑAZAS</t>
  </si>
  <si>
    <t>EQUIPO PRUEBA DE TRANSFORMADORES DE POTENCIA Y DE INSTRUMENTACIÓN</t>
  </si>
  <si>
    <t xml:space="preserve">REEMPLAZO INTERRUPTORES S/E PANAMÁ 115 KV </t>
  </si>
  <si>
    <t>REEMPLAZO TORRES CORROIDAS EN PANAMÁ Y COLÓN</t>
  </si>
  <si>
    <t>REEMPLAZO DE BANCOS DE CAPACITORES EN S/E PANAMÁ Y S/E PANAMÁ 2</t>
  </si>
  <si>
    <t>REEMPLAZO CUCHILLAS MANUALES S/E PANAMA 115 KV</t>
  </si>
  <si>
    <t>REEMPLAZO CONTADORES DE DESCARGA PARA LT DE 230 Y 115 KV EN ZONA 3</t>
  </si>
  <si>
    <t>PLANTAS AUXILIARES DE LAS SUBESTACIONES PROGRESO Y MATA DE NANCE</t>
  </si>
  <si>
    <t>REEMPLAZO CTs A NIVEL NACIONAL y PANAMA 230 y 115 KV</t>
  </si>
  <si>
    <t>REPOSICION DE RECTIFICADORES DE 125 VDC PARA LAS SUBESTACIONES DE MATA DEL NANCE, CAÑAZAS, CHANGUINOLA, PROGRESO Y GUASQUITA</t>
  </si>
  <si>
    <t>REEMPLAZO CUCHILLAS MANUALES S/E LLANO SANCHEZ 230 KV</t>
  </si>
  <si>
    <t>REEMPLAZO DE CUCHILLAS MOTORIZADAS DE S/E MATA DE NANCE 230 Y 115 KV</t>
  </si>
  <si>
    <t>REEMPLAZO TRANSFORMADOR DE TIERRA S/E LLANO SANCHEZ</t>
  </si>
  <si>
    <t>REEMPLAZO DEL TRANSFORMADOR DE SERVICIOS AUXILIARES S/E LLANO SÁNCHEZ</t>
  </si>
  <si>
    <t>EQUIPO ANALIZADOR PORTÁTIL DE DESCARGAS PARCIALES</t>
  </si>
  <si>
    <t>ADQUISICIÓN DE EQUIPO PARA PRUEBAS A MUY BAJA FRECUENCIA A CABLES DE MEDIA TENSIÓN</t>
  </si>
  <si>
    <t>IMPLEMENTACIÓN DE LABORATORIO DE PRUEBAS Y MEDICIONES</t>
  </si>
  <si>
    <t>REEMPLAZO MAQUINA FILTRADORA Y REGENERADORA DE ACEITE DE TRANSF.</t>
  </si>
  <si>
    <t>REEMPLAZO Y ADQUISICIÓN PROTECCIONES DIFERENCIALES LINEAS 230 Y 115 KV</t>
  </si>
  <si>
    <t>REEMPLAZO INTERRUPTORES S/E MATA DE NANCE 230 KV</t>
  </si>
  <si>
    <t>REEMPLAZO CUCHILLAS MOTORIZADAS S/E ESPERANZA, BOQ III y CAÑAZAS 230 KV</t>
  </si>
  <si>
    <t xml:space="preserve">REEMPLAZO INTERRUPTORES BANCOS CAPACITORES S/E PANAMA 115 KV </t>
  </si>
  <si>
    <t>REEMPLAZO CUCHILLAS MOTORIZADAS S/E PANAMA 230 KV</t>
  </si>
  <si>
    <t xml:space="preserve">REEMPLAZO CUCHILLAS MOTORIZADAS S/E LLANO SANCHEZ 230 KV </t>
  </si>
  <si>
    <t>REEMPLAZO CUCHILLAS MOTORIZADAS S/E PANAMA 115 KV</t>
  </si>
  <si>
    <t xml:space="preserve">REEMPLAZO INTERRUPTORES BANCOS CAPACITORES S/E PAN II y LLS 230 KV </t>
  </si>
  <si>
    <t>REEMPLAZO INTERRUPTORES S/E PROGRESO 115 KV</t>
  </si>
  <si>
    <t>REEMPLAZO DE TRANSFORMADORES DE PUESTA A TIERRA TT1 y TT2 SUBESTACIONES MATA DE NANCE Y PROGRESO</t>
  </si>
  <si>
    <t>REEMPLAZO DE REACTORES DE 230 KV DE LA SUBESTACIÓN VELADERO (3), LLANO SÁNCHEZ (3) Y LLS 34.5 KV (1)</t>
  </si>
  <si>
    <t>REEMPLAZO CUCHILLAS MANUALES S/E PANAMA 230 KV</t>
  </si>
  <si>
    <t xml:space="preserve">REEMPLAZO INTERRUPTORES S/E CHORRERA 230 KV </t>
  </si>
  <si>
    <t>REEMPLAZO DE BANCO DE BATERÍAS CHARCO AZUL, BOQUERON, MATA DEL NANCE, PROGRESO Y BELLA VISTA</t>
  </si>
  <si>
    <t>RECTIIFCADORES DE CAÑAZAS, PROGRESO, CHARCO AZUL, MATA DEL NANCE, CALDERA</t>
  </si>
  <si>
    <t>RREMPLAZO DE TRANSOFRMADOR DE SERVICIOS AUXILIARES Y TRANFER SWITCH DE LA SUBESTACION BOQUERON</t>
  </si>
  <si>
    <t>EQUIPO MONITOREO EN LINEA DE TRANSFORMADORES</t>
  </si>
  <si>
    <t>REEMPLAZO T1 S/E PANAMA 230/115 KV 350 MVA Y ADECUACION PANAMA 230 KV</t>
  </si>
  <si>
    <t>REEMPLAZO PROTECCIONES S/E GUASQUITAS 230 KV</t>
  </si>
  <si>
    <t>REEMPLAZO PROTECCIONES S/E LLANO SÁNCHEZ 230 Y 115 KV</t>
  </si>
  <si>
    <t>REEMPLAZO PROTECCIONES S/E VELADERO 230 KV</t>
  </si>
  <si>
    <t>REEMPLAZO DE LAS PROTECCIONES EN LOS PATIOS 230 y 115 KV EN S/E PANAMÁ II</t>
  </si>
  <si>
    <t>2019-2024</t>
  </si>
  <si>
    <t>REEMPLAZO DE HILO DE GUARDA ZONAS 1 Y 3 LÍNEAS 230 KV Y 115 KV</t>
  </si>
  <si>
    <t>2021-2025</t>
  </si>
  <si>
    <t>REEMPLAZO DE RTUs</t>
  </si>
  <si>
    <t>REEMPLAZO GATEWAY SISTEMAS AUTOMATIZADOS DE S/E (SAS)</t>
  </si>
  <si>
    <t>2022-2026</t>
  </si>
  <si>
    <t>REEMPLAZO REGISTRADORES DE OSCILOGRAFIAS</t>
  </si>
  <si>
    <t>REEMPLAZO DE LAS PROTECCIONES EN EL PATIO 230 KV EN S/E SAN BARTOLO Y S/E EL HIGO Y SUS COLATERALES</t>
  </si>
  <si>
    <t>REEMPLAZO PROTECCIONES S/E SANTA RITA 115 KV</t>
  </si>
  <si>
    <t>REEMPLAZO CUCHILLAS MANUALES Y MOTORIZADAS S/E LLANO SÁNCHEZ 115 KV</t>
  </si>
  <si>
    <t>REEMPLAZO PTs S/E LLANO SANCHEZ 34.5 KV</t>
  </si>
  <si>
    <t>REEMPLAZO PTs S/E MATA DE NANCE 34.5 KV</t>
  </si>
  <si>
    <t>REEMPLAZO PTs S/E PROGRESO 34.5 KV</t>
  </si>
  <si>
    <t xml:space="preserve">NUEVA SUBESTACION BURUNGA 230 KV </t>
  </si>
  <si>
    <t>LINEA CRISTOBAL - TORRE 4 230 KV</t>
  </si>
  <si>
    <t>Sin fecha. Valores anteriores a 2024</t>
  </si>
  <si>
    <t>EQUIPO DE INFORMATICA</t>
  </si>
  <si>
    <t>2021-2026</t>
  </si>
  <si>
    <t>REEMPLAZO FLOTA VEHICULAR</t>
  </si>
  <si>
    <t>AMPLIACIÓN EN ZONA 2, COCLÉ, LLANO SÁNCHEZ</t>
  </si>
  <si>
    <t>TERRENO NUEVA SEDE DE ETESA</t>
  </si>
  <si>
    <t>GALERAS PARA EL ALMACENAMIENTO TEMPORAL DE LOS DESECHOS PELIGROSOS</t>
  </si>
  <si>
    <t>2024-2027</t>
  </si>
  <si>
    <t xml:space="preserve">TALLER DE S/E VELADERO Y PANAMA II </t>
  </si>
  <si>
    <t>NUEVA SEDE DE LA EMPRESA DE TRANSMISIÓN ELÉCTRICA, S.A.</t>
  </si>
  <si>
    <t>Sistema Principal de Transmisión</t>
  </si>
  <si>
    <t>Planta General (#). Asignado a G y D</t>
  </si>
  <si>
    <t>ACTIVOS BRUTOS CONEXIÓN</t>
  </si>
  <si>
    <t>ACTIVOS NETOS CONEXIÓN</t>
  </si>
  <si>
    <t>Sistema Principal de Transmisión. Asignado a G</t>
  </si>
  <si>
    <t>Sistema Principal de Transmisión. Asignado a D (100%)</t>
  </si>
  <si>
    <t>Planta General + Activos Estratégicos. Asignado a G</t>
  </si>
  <si>
    <t>dic-24-jun-25</t>
  </si>
  <si>
    <t>jul-25-jun-26</t>
  </si>
  <si>
    <t>jul-26-jun-27</t>
  </si>
  <si>
    <t>jul-27-jun-28</t>
  </si>
  <si>
    <t>jul-28-jun-29</t>
  </si>
  <si>
    <t>Adiciones Sistema Principal Transmisión. Asignada a G</t>
  </si>
  <si>
    <t>Adiciones Planta General. Asignada a G</t>
  </si>
  <si>
    <t>Adiciones SP +  PG. Asignada a G. Activada durante el año</t>
  </si>
  <si>
    <t>Aceptado Revisión 2021</t>
  </si>
  <si>
    <t>ETESA 2024</t>
  </si>
  <si>
    <t>AJUSTADO 2024</t>
  </si>
  <si>
    <t>230-1A</t>
  </si>
  <si>
    <t>230-1B</t>
  </si>
  <si>
    <t>230-1C,2C</t>
  </si>
  <si>
    <t>230-5A</t>
  </si>
  <si>
    <t>PANAMA III - PANAMA II</t>
  </si>
  <si>
    <t>EL COCO - PANAMA III</t>
  </si>
  <si>
    <t>230-18</t>
  </si>
  <si>
    <t>230-20A **</t>
  </si>
  <si>
    <t>230-20B **</t>
  </si>
  <si>
    <t>230-29 **</t>
  </si>
  <si>
    <t>230-30 **</t>
  </si>
  <si>
    <t>SABANITAS - PANAMA II</t>
  </si>
  <si>
    <t>230-55B</t>
  </si>
  <si>
    <t>TELFERS - SABANITAS</t>
  </si>
  <si>
    <t>230-54B</t>
  </si>
  <si>
    <t>CRISTOBAL- SABANITAS</t>
  </si>
  <si>
    <t>230-55C</t>
  </si>
  <si>
    <t>TELFERS - CRISTOBAL</t>
  </si>
  <si>
    <t>230-58, 59</t>
  </si>
  <si>
    <t>SABANITAS - PANAMA III</t>
  </si>
  <si>
    <t>230-47A,48A</t>
  </si>
  <si>
    <t>PANAMA III - PANAMA</t>
  </si>
  <si>
    <t>230-47B,48B</t>
  </si>
  <si>
    <t>230-49A y B,50</t>
  </si>
  <si>
    <t>230-49A</t>
  </si>
  <si>
    <t>CHORRERA - ANTÓN IV</t>
  </si>
  <si>
    <t>230-49B</t>
  </si>
  <si>
    <t>ANTÓN IV - LLANO SANCHEZ</t>
  </si>
  <si>
    <t>CACERES - STA. RITA</t>
  </si>
  <si>
    <t>STA. RITA - LAS MINAS 1</t>
  </si>
  <si>
    <t>CEMENTO PANAMA - LAS MINAS 2 ***</t>
  </si>
  <si>
    <t>PANAMA III</t>
  </si>
  <si>
    <t>SABANITAS</t>
  </si>
  <si>
    <t>VNR SPT
 ETESA 2024</t>
  </si>
  <si>
    <t>VNR SPT AJUSTADO 2024</t>
  </si>
  <si>
    <t>AJUSTE 2024 vs ETESA2024</t>
  </si>
  <si>
    <t>Ajus 2024 vs 2021
%</t>
  </si>
  <si>
    <t>VNR SPT
ACEPTADO 2021</t>
  </si>
  <si>
    <t>VNR SPT
ESTRATÉGICAS ETESA 2024</t>
  </si>
  <si>
    <t>VNR 2024
AJUSTADO
ESTRATÉGICAS</t>
  </si>
  <si>
    <t>EL COCO</t>
  </si>
  <si>
    <t>LINEAS DE 230 KV CIRCUITO SENCILLO</t>
  </si>
  <si>
    <t>Demanda</t>
  </si>
  <si>
    <t>VNR ACEPTADO 2021</t>
  </si>
  <si>
    <t>VNR ETESA 2024</t>
  </si>
  <si>
    <t>VNR CONEXIÓN
AJUSTADO 2024</t>
  </si>
  <si>
    <t>Ajus 2024 vs ETESA 2024</t>
  </si>
  <si>
    <t>Ajus 2024 vs 2017
%</t>
  </si>
  <si>
    <t>VNR 2021</t>
  </si>
  <si>
    <t>VNR 2024 Ajustado</t>
  </si>
  <si>
    <t>Ajuste 2024</t>
  </si>
  <si>
    <t>2025 - 2026</t>
  </si>
  <si>
    <t>2026 - 2027</t>
  </si>
  <si>
    <t>2027 - 2028</t>
  </si>
  <si>
    <t>2028 - 2029</t>
  </si>
  <si>
    <t>2025-2026</t>
  </si>
  <si>
    <t>2026-2027</t>
  </si>
  <si>
    <t>2027-2028</t>
  </si>
  <si>
    <t>2028-2029</t>
  </si>
  <si>
    <t>2sem 2025</t>
  </si>
  <si>
    <t>1sem2026</t>
  </si>
  <si>
    <t>2sem2026</t>
  </si>
  <si>
    <t>1sem2027</t>
  </si>
  <si>
    <t>2sem2027</t>
  </si>
  <si>
    <t>1sem2028</t>
  </si>
  <si>
    <t>2sem2028</t>
  </si>
  <si>
    <t>1sem2029</t>
  </si>
  <si>
    <t>Lineas de 230 kV</t>
  </si>
  <si>
    <t>LINEAS DE 115KV Circuito Sencillo</t>
  </si>
  <si>
    <t>Capacidad de la Linea</t>
  </si>
  <si>
    <t>Porcentaje de Uso (%)</t>
  </si>
  <si>
    <t>Costo por  (MW/circuito) por Uso</t>
  </si>
  <si>
    <t>EL COCO  NAVE 3 Y 4</t>
  </si>
  <si>
    <t>Autotransformador 100 MVA 230/115 kV</t>
  </si>
  <si>
    <t>Autotransformador 100 MVA 230/115/34.5 kV</t>
  </si>
  <si>
    <t>Autotransformador 120 MVA 230/22.2 kV</t>
  </si>
  <si>
    <t>Autotransformador 150 MVA 230/115/34.5 kV</t>
  </si>
  <si>
    <t>Autotransformador 175 MVA 230/115/13.8 kV</t>
  </si>
  <si>
    <t>Autotransformador 175 MVA 230/115/34.5 kV</t>
  </si>
  <si>
    <t>Autotransformador 350 MVA 230/115 kV</t>
  </si>
  <si>
    <t>Autotransformador 350 MVA 230/115/13.8 kV</t>
  </si>
  <si>
    <t>Autotransformador 50 MVA 230/115/34.5 kV</t>
  </si>
  <si>
    <t>Autotransformador 62.5 MVA 115/34.5 kV</t>
  </si>
  <si>
    <t>Autotransformador 70 MVA 230/115/34.5 kV</t>
  </si>
  <si>
    <t>Banco de Capacitores 20 MVAR 115 kV</t>
  </si>
  <si>
    <t>Banco de Capacitores 30 MVAR 230 kV</t>
  </si>
  <si>
    <t>Cuchilla Manual Monopolar 230 kV</t>
  </si>
  <si>
    <t>Cuchilla Manual Monopolar 34.5 kV</t>
  </si>
  <si>
    <t>Cuchilla Manual Tetrapolar 115 kV</t>
  </si>
  <si>
    <t>Cuchilla Motorizada Tetrapolar PT 115 kV</t>
  </si>
  <si>
    <t>Cuchilla Manual Tetrapolar 230 kV</t>
  </si>
  <si>
    <t>Cuchilla Motorizada Tetrapolar PT 230 kV</t>
  </si>
  <si>
    <t>Cuchilla Manual Trifásico Tripolar 115 kV</t>
  </si>
  <si>
    <t>Cuchilla Manual Trifásico Tripolar PT 115 kV</t>
  </si>
  <si>
    <t>Cuchilla Manual Trifásico Tripolar 13.8 kV</t>
  </si>
  <si>
    <t>Cuchilla Manual Trifásico Tripolar 230 kV</t>
  </si>
  <si>
    <t>Cuchilla Manual Trifásico Tripolar PT 230 kV</t>
  </si>
  <si>
    <t>Cuchilla Manual Trifásico Tripolar 34.5 kV</t>
  </si>
  <si>
    <t>Cuchilla Manual Trifásico Tripolar PT 34.5 kV</t>
  </si>
  <si>
    <t>Cuchilla Motorizada Trifásico Tripolar 115 kV</t>
  </si>
  <si>
    <t>Cuchilla Motorizada Trifásico Tripolar PT 115 kV</t>
  </si>
  <si>
    <t>Cuchilla Motorizada Trifásico Tripolar 22.2 kV</t>
  </si>
  <si>
    <t>Cuchilla Motorizada Trifásico Tripolar PT 22.2 kV</t>
  </si>
  <si>
    <t>Cuchilla Motorizada Trifásico Tripolar 230 kV</t>
  </si>
  <si>
    <t>Cuchilla Motorizada Trifásico Tripolar PT 230 kV</t>
  </si>
  <si>
    <t>Cuchilla Motorizada Trifásico Tripolar 34.5 kV</t>
  </si>
  <si>
    <t>Cuchilla Motorizada Trifásico Tripolar PT 34.5 kV</t>
  </si>
  <si>
    <t>Cuchilla Motorizada GIS Trifásico Tripolar 192 kV</t>
  </si>
  <si>
    <t>Cuchilla Motorizada GIS Trifásico Tripolar 230 kV</t>
  </si>
  <si>
    <t>Cuchilla Motorizada GIS Trifásico Tripolar PT 230 kV</t>
  </si>
  <si>
    <t>Interruptor de Gabinete Trifásico Tripolar 13.8 kV</t>
  </si>
  <si>
    <t>Interruptor GIS Monopolar 230 kV</t>
  </si>
  <si>
    <t>Interruptor Tanque Muerto Monopolar 230 kV</t>
  </si>
  <si>
    <t>Interruptor Tanque Muerto Trifásico Tripolar 115 kV</t>
  </si>
  <si>
    <t>Interruptor Tanque Muerto Trifásico Tripolar 230 kV</t>
  </si>
  <si>
    <t>Interruptor Tanque Muerto Trifásico Tripolar 34.5 kV</t>
  </si>
  <si>
    <t>Interruptor Tanque Vivo Monopolar 115 kV</t>
  </si>
  <si>
    <t>Interruptor Tanque Vivo Monopolar 230 kV</t>
  </si>
  <si>
    <t>Interruptor Tanque Vivo Trifásico Tripolar 115 kV</t>
  </si>
  <si>
    <t>Interruptor Tanque Vivo Trifásico Tripolar 22.2 kV</t>
  </si>
  <si>
    <t>Interruptor Tanque Vivo Trifásico Tripolar 230 kV</t>
  </si>
  <si>
    <t>Interruptor Tanque Vivo Trifásico Tripolar 34.5 kV</t>
  </si>
  <si>
    <t>Pararrayo  192 kV</t>
  </si>
  <si>
    <t>Pararrayo  22.2 kV</t>
  </si>
  <si>
    <t>Pararrayo  34.5 kV</t>
  </si>
  <si>
    <t>Pararrayo  96 kV</t>
  </si>
  <si>
    <t>Reactor 20 MVAR 115 kV</t>
  </si>
  <si>
    <t>Reactor 20 MVAR 230 kV</t>
  </si>
  <si>
    <t>Reactor 20 MVAR 34.5 kV</t>
  </si>
  <si>
    <t>Reactor 30 MVAR 230 kV</t>
  </si>
  <si>
    <t>Reactor 60 MVAR 22.2 kV</t>
  </si>
  <si>
    <t>Reactor ONAN 20 MVAR 230 kV</t>
  </si>
  <si>
    <t>STATCOM 60 MVAR 22.2 kV</t>
  </si>
  <si>
    <t>Transformador de Corriente 115 kV</t>
  </si>
  <si>
    <t>Transformador de Corriente 22.2 kV</t>
  </si>
  <si>
    <t>Transformador de Corriente 230 kV</t>
  </si>
  <si>
    <t>Transformador de Corriente 34.5 kV</t>
  </si>
  <si>
    <t>Transformador de Potencia 24 MVA 4.16/115 kV</t>
  </si>
  <si>
    <t>Transformador de Potencia 83.33 MVA 230/34.5 kV</t>
  </si>
  <si>
    <t>Transformador de Servicios Auxiliares 115 kV</t>
  </si>
  <si>
    <t>Transformador de Servicios Auxiliares 115 kV/208V</t>
  </si>
  <si>
    <t>Transformador de Servicios Auxiliares 22.2 kV/208/120V</t>
  </si>
  <si>
    <t>Transformador de Servicios Auxiliares 225 kVA 13.8 kV/208/120 V</t>
  </si>
  <si>
    <t>Transformador de Servicios Auxiliares 250 kVA 13.8 kV/208/120 V</t>
  </si>
  <si>
    <t>Transformador de Servicios Auxiliares 34.5 kV</t>
  </si>
  <si>
    <t>Transformador de Servicios Auxiliares 34.5 kV/208/120V</t>
  </si>
  <si>
    <t>Transformador de Servicios Auxiliares 34.5 kV/240/120V</t>
  </si>
  <si>
    <t>Transformador de Tierra 19.9 MVA 34.5 kV</t>
  </si>
  <si>
    <t>Transformador de Tierra 25.4 kVA 22.2 kV</t>
  </si>
  <si>
    <t>Transformador de Tierra 5 MVA 34.5 kV</t>
  </si>
  <si>
    <t>Transformador de Tierra 5976 kVA 34.5 kV</t>
  </si>
  <si>
    <t>Transformador de Voltaje 115 kV</t>
  </si>
  <si>
    <t>Transformador de Voltaje 22.2 kV</t>
  </si>
  <si>
    <t>Transformador de Voltaje 230 kV</t>
  </si>
  <si>
    <t>Transformador de Voltaje 34.5 kV</t>
  </si>
  <si>
    <t>Transformador  de Potencia 83.33 MVA 230/34.5 kV</t>
  </si>
  <si>
    <t>Transformador GIS de Corriente 230 kV</t>
  </si>
  <si>
    <t>Transformador GIS de Voltaje 230 kV</t>
  </si>
  <si>
    <t>Barra</t>
  </si>
  <si>
    <t>Ingreso permitido por Año tarifario de IMP según consulta pública 002-25</t>
  </si>
  <si>
    <t>2025-2029</t>
  </si>
  <si>
    <t>CXL 230 KV Circuito Sencillo 1200 ACAR</t>
  </si>
  <si>
    <t>CÁLCULO DEL VPN DEL INGRESO PERMITIDO PARA EL PLIEGO TARIFARIO</t>
  </si>
  <si>
    <t>TIPO DE ACTIVO (AÑO 1)</t>
  </si>
  <si>
    <t>TIPO DE ACTIVO (AÑO 2)</t>
  </si>
  <si>
    <t>TIPO DE ACTIVO (AÑO 3)</t>
  </si>
  <si>
    <t>TIPO DE ACTIVO (AÑO 4)</t>
  </si>
  <si>
    <t>(Miles de balboas)</t>
  </si>
  <si>
    <t>Cristobal - Sabanitas</t>
  </si>
  <si>
    <t>CXTR Reductor 20/24 MVA</t>
  </si>
  <si>
    <t>CXL 230 kV Doble Circuito 1200 ACAR</t>
  </si>
  <si>
    <t>resta cuota fija por año calendario</t>
  </si>
  <si>
    <t>resta ajuste del periodo anterior</t>
  </si>
  <si>
    <t>(6) Representa el costo típico para líneas de 230 kV Circuito doble con conductor 1200 ACAR.</t>
  </si>
  <si>
    <t>CXL 230 kV Circuito Sencillo 1200 ACAR</t>
  </si>
  <si>
    <t>CXL 115 KV Circuito Doble 636 ACSR</t>
  </si>
  <si>
    <t xml:space="preserve"> -   </t>
  </si>
  <si>
    <t>N/A</t>
  </si>
  <si>
    <t>CXL 230 KV Circuito Sencillo 750 ACAR</t>
  </si>
  <si>
    <t>CXL 230 KV Circuito Doble 750 ACAR</t>
  </si>
  <si>
    <t>CXL 230 KV Circuito Doble 1200 ACAR</t>
  </si>
  <si>
    <t>CXL230 KV Circuito. Sencillo/torres Doble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</si>
</sst>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41" formatCode="_-* #,##0_-;\-* #,##0_-;_-* &quot;-&quot;_-;_-@_-"/>
    <numFmt numFmtId="44" formatCode="_-&quot;B/.&quot;* #,##0.00_-;\-&quot;B/.&quot;* #,##0.00_-;_-&quot;B/.&quot;* &quot;-&quot;??_-;_-@_-"/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#.00"/>
    <numFmt numFmtId="167" formatCode="0.0%"/>
    <numFmt numFmtId="168" formatCode="_-[$€-2]* #,##0.00_-;\-[$€-2]* #,##0.00_-;_-[$€-2]* &quot;-&quot;??_-"/>
    <numFmt numFmtId="169" formatCode="_-* #,##0.0_-;\-* #,##0.0_-;_-* &quot;-&quot;??_-;_-@_-"/>
    <numFmt numFmtId="170" formatCode="_-* #,##0_-;\-* #,##0_-;_-* &quot;-&quot;??_-;_-@_-"/>
    <numFmt numFmtId="171" formatCode="_(* #,##0_);_(* \(#,##0\);_(* &quot;-&quot;??_);_(@_)"/>
    <numFmt numFmtId="172" formatCode="0.000"/>
    <numFmt numFmtId="173" formatCode="0.000000000"/>
    <numFmt numFmtId="174" formatCode="0.0000"/>
    <numFmt numFmtId="175" formatCode="_-* #,##0.0000_-;\-* #,##0.0000_-;_-* &quot;-&quot;??_-;_-@_-"/>
    <numFmt numFmtId="176" formatCode="#,##0.000_);\(#,##0.000\)"/>
    <numFmt numFmtId="177" formatCode="0_ ;\-0\ "/>
    <numFmt numFmtId="178" formatCode="#,##0_ ;\-#,##0\ "/>
    <numFmt numFmtId="179" formatCode="_-* #,##0.000_-;\-* #,##0.000_-;_-* &quot;-&quot;??_-;_-@_-"/>
    <numFmt numFmtId="180" formatCode="0.000%"/>
    <numFmt numFmtId="181" formatCode="_-* #,##0.00000_-;\-* #,##0.00000_-;_-* &quot;-&quot;??_-;_-@_-"/>
    <numFmt numFmtId="182" formatCode="#,##0.00000000"/>
    <numFmt numFmtId="183" formatCode="0.00000"/>
    <numFmt numFmtId="184" formatCode="_(* #,##0.000_);_(* \(#,##0.000\);_(* &quot;-&quot;??_);_(@_)"/>
    <numFmt numFmtId="185" formatCode="#,##0.0"/>
    <numFmt numFmtId="186" formatCode="_(* #,##0.0000_);_(* \(#,##0.0000\);_(* &quot;-&quot;??_);_(@_)"/>
    <numFmt numFmtId="187" formatCode="_(* #,##0.00000_);_(* \(#,##0.00000\);_(* &quot;-&quot;??_);_(@_)"/>
    <numFmt numFmtId="188" formatCode="0.0"/>
    <numFmt numFmtId="189" formatCode="#.0\ &quot;x&quot;"/>
    <numFmt numFmtId="190" formatCode="0.00_)"/>
    <numFmt numFmtId="191" formatCode="#,##0.00_ ;[Red]\-#,##0.00\ "/>
    <numFmt numFmtId="192" formatCode="#,##0.00;[Red]#,##0.00"/>
    <numFmt numFmtId="193" formatCode="[$B/.-180A]\ #,##0.00_ ;[Red]\-[$B/.-180A]\ #,##0.00\ "/>
    <numFmt numFmtId="194" formatCode="[$B/.-180A]\ #,##0.00_);[Red]\([$B/.-180A]\ #,##0.00\)"/>
    <numFmt numFmtId="195" formatCode="#,##0.0000"/>
    <numFmt numFmtId="196" formatCode="d/m/yy;@"/>
    <numFmt numFmtId="197" formatCode="_-* #,##0.000000_-;\-* #,##0.000000_-;_-* &quot;-&quot;??_-;_-@_-"/>
    <numFmt numFmtId="198" formatCode="_-* #,##0.0000000_-;\-* #,##0.0000000_-;_-* &quot;-&quot;??_-;_-@_-"/>
  </numFmts>
  <fonts count="13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0"/>
      <name val="Arial"/>
      <family val="2"/>
    </font>
    <font>
      <sz val="10"/>
      <color indexed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2"/>
      <name val="Arial"/>
      <family val="2"/>
    </font>
    <font>
      <b/>
      <sz val="10"/>
      <color indexed="9"/>
      <name val="Arial"/>
      <family val="2"/>
    </font>
    <font>
      <b/>
      <sz val="12"/>
      <color indexed="9"/>
      <name val="Arial"/>
      <family val="2"/>
    </font>
    <font>
      <b/>
      <vertAlign val="subscript"/>
      <sz val="10"/>
      <color indexed="9"/>
      <name val="Arial"/>
      <family val="2"/>
    </font>
    <font>
      <sz val="10"/>
      <color indexed="9"/>
      <name val="Arial"/>
      <family val="2"/>
    </font>
    <font>
      <b/>
      <sz val="11"/>
      <color indexed="9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2"/>
      <color indexed="12"/>
      <name val="Arial"/>
      <family val="2"/>
    </font>
    <font>
      <b/>
      <sz val="10"/>
      <color theme="5"/>
      <name val="Arial"/>
      <family val="2"/>
    </font>
    <font>
      <sz val="10"/>
      <color rgb="FFFF0000"/>
      <name val="Arial"/>
      <family val="2"/>
    </font>
    <font>
      <sz val="12"/>
      <color rgb="FFFF0000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0"/>
      <name val="Arial"/>
      <family val="2"/>
    </font>
    <font>
      <b/>
      <sz val="11"/>
      <color theme="0"/>
      <name val="Arial"/>
      <family val="2"/>
    </font>
    <font>
      <u val="singleAccounting"/>
      <sz val="10"/>
      <name val="Arial"/>
      <family val="2"/>
    </font>
    <font>
      <sz val="14"/>
      <name val="Arial"/>
      <family val="2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u val="double"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12"/>
      <name val="Calibri"/>
      <family val="2"/>
      <scheme val="minor"/>
    </font>
    <font>
      <sz val="10"/>
      <color rgb="FF00B05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0"/>
      <color rgb="FF0070C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B050"/>
      <name val="Calibri"/>
      <family val="2"/>
      <scheme val="minor"/>
    </font>
    <font>
      <b/>
      <sz val="10"/>
      <color indexed="8"/>
      <name val="Arial"/>
      <family val="2"/>
    </font>
    <font>
      <sz val="12"/>
      <name val="Courier"/>
      <family val="3"/>
    </font>
    <font>
      <sz val="10"/>
      <color indexed="8"/>
      <name val="Arial"/>
      <family val="2"/>
    </font>
    <font>
      <sz val="10"/>
      <color indexed="22"/>
      <name val="Arial"/>
      <family val="2"/>
    </font>
    <font>
      <b/>
      <sz val="11"/>
      <color indexed="8"/>
      <name val="Arial"/>
      <family val="2"/>
    </font>
    <font>
      <u/>
      <sz val="11"/>
      <color theme="1"/>
      <name val="Calibri"/>
      <family val="2"/>
      <scheme val="minor"/>
    </font>
    <font>
      <sz val="12"/>
      <color theme="0"/>
      <name val="Arial"/>
      <family val="2"/>
    </font>
    <font>
      <b/>
      <sz val="12"/>
      <color theme="5"/>
      <name val="Arial"/>
      <family val="2"/>
    </font>
    <font>
      <b/>
      <sz val="11"/>
      <color theme="6" tint="-0.499984740745262"/>
      <name val="Calibri"/>
      <family val="2"/>
      <scheme val="minor"/>
    </font>
    <font>
      <b/>
      <sz val="10"/>
      <color theme="9" tint="-0.249977111117893"/>
      <name val="Arial"/>
      <family val="2"/>
    </font>
    <font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ourier New"/>
      <family val="3"/>
    </font>
    <font>
      <sz val="11"/>
      <color rgb="FF00B0F0"/>
      <name val="Arial"/>
      <family val="2"/>
    </font>
    <font>
      <sz val="11"/>
      <color rgb="FFFF0000"/>
      <name val="Arial"/>
      <family val="2"/>
    </font>
    <font>
      <sz val="11"/>
      <color rgb="FF0070C0"/>
      <name val="Arial"/>
      <family val="2"/>
    </font>
    <font>
      <b/>
      <sz val="11"/>
      <color rgb="FF0070C0"/>
      <name val="Arial"/>
      <family val="2"/>
    </font>
    <font>
      <b/>
      <sz val="11"/>
      <color rgb="FF00B0F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000000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1"/>
      <name val="Calibri"/>
      <family val="2"/>
    </font>
    <font>
      <sz val="11"/>
      <color rgb="FF0070C0"/>
      <name val="Calibri"/>
      <family val="2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12"/>
      <color theme="1"/>
      <name val="Arial"/>
      <family val="2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1"/>
      <color indexed="12"/>
      <name val="Arial"/>
      <family val="2"/>
    </font>
    <font>
      <sz val="10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Gray"/>
    </fill>
    <fill>
      <patternFill patternType="solid">
        <fgColor rgb="FF00206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BC2E6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rgb="FF95B3D7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6969"/>
        <bgColor indexed="64"/>
      </patternFill>
    </fill>
    <fill>
      <patternFill patternType="solid">
        <fgColor theme="3" tint="0.39997558519241921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theme="8" tint="0.39997558519241921"/>
        <bgColor indexed="64"/>
      </patternFill>
    </fill>
  </fills>
  <borders count="1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21"/>
      </left>
      <right style="thin">
        <color indexed="21"/>
      </right>
      <top style="hair">
        <color indexed="21"/>
      </top>
      <bottom style="hair">
        <color indexed="21"/>
      </bottom>
      <diagonal/>
    </border>
    <border>
      <left/>
      <right/>
      <top style="double">
        <color theme="0" tint="-0.499984740745262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ck">
        <color theme="0" tint="-0.499984740745262"/>
      </top>
      <bottom style="thick">
        <color theme="0" tint="-0.499984740745262"/>
      </bottom>
      <diagonal/>
    </border>
    <border>
      <left/>
      <right style="thin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/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64">
    <xf numFmtId="0" fontId="0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9" fillId="4" borderId="0" applyNumberFormat="0" applyBorder="0" applyAlignment="0" applyProtection="0"/>
    <xf numFmtId="0" fontId="30" fillId="16" borderId="1" applyNumberFormat="0" applyAlignment="0" applyProtection="0"/>
    <xf numFmtId="0" fontId="31" fillId="17" borderId="2" applyNumberFormat="0" applyAlignment="0" applyProtection="0"/>
    <xf numFmtId="0" fontId="32" fillId="0" borderId="3" applyNumberFormat="0" applyFill="0" applyAlignment="0" applyProtection="0"/>
    <xf numFmtId="0" fontId="33" fillId="0" borderId="0" applyNumberFormat="0" applyFill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21" borderId="0" applyNumberFormat="0" applyBorder="0" applyAlignment="0" applyProtection="0"/>
    <xf numFmtId="0" fontId="34" fillId="7" borderId="1" applyNumberFormat="0" applyAlignment="0" applyProtection="0"/>
    <xf numFmtId="168" fontId="14" fillId="0" borderId="0" applyFont="0" applyFill="0" applyBorder="0" applyAlignment="0" applyProtection="0"/>
    <xf numFmtId="166" fontId="17" fillId="0" borderId="0">
      <protection locked="0"/>
    </xf>
    <xf numFmtId="166" fontId="17" fillId="0" borderId="0">
      <protection locked="0"/>
    </xf>
    <xf numFmtId="166" fontId="18" fillId="0" borderId="0">
      <protection locked="0"/>
    </xf>
    <xf numFmtId="166" fontId="17" fillId="0" borderId="0">
      <protection locked="0"/>
    </xf>
    <xf numFmtId="166" fontId="17" fillId="0" borderId="0">
      <protection locked="0"/>
    </xf>
    <xf numFmtId="166" fontId="17" fillId="0" borderId="0">
      <protection locked="0"/>
    </xf>
    <xf numFmtId="166" fontId="18" fillId="0" borderId="0">
      <protection locked="0"/>
    </xf>
    <xf numFmtId="0" fontId="35" fillId="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6" fillId="22" borderId="0" applyNumberFormat="0" applyBorder="0" applyAlignment="0" applyProtection="0"/>
    <xf numFmtId="0" fontId="19" fillId="0" borderId="0"/>
    <xf numFmtId="0" fontId="27" fillId="0" borderId="0"/>
    <xf numFmtId="0" fontId="14" fillId="0" borderId="0"/>
    <xf numFmtId="0" fontId="14" fillId="23" borderId="4" applyNumberFormat="0" applyFont="0" applyAlignment="0" applyProtection="0"/>
    <xf numFmtId="40" fontId="37" fillId="24" borderId="0">
      <alignment horizontal="right"/>
    </xf>
    <xf numFmtId="0" fontId="38" fillId="24" borderId="0">
      <alignment horizontal="right"/>
    </xf>
    <xf numFmtId="0" fontId="39" fillId="24" borderId="5"/>
    <xf numFmtId="0" fontId="39" fillId="0" borderId="0" applyBorder="0">
      <alignment horizontal="centerContinuous"/>
    </xf>
    <xf numFmtId="0" fontId="40" fillId="0" borderId="0" applyBorder="0">
      <alignment horizontal="centerContinuous"/>
    </xf>
    <xf numFmtId="9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1" fillId="16" borderId="6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7" applyNumberFormat="0" applyFill="0" applyAlignment="0" applyProtection="0"/>
    <xf numFmtId="0" fontId="46" fillId="0" borderId="8" applyNumberFormat="0" applyFill="0" applyAlignment="0" applyProtection="0"/>
    <xf numFmtId="0" fontId="33" fillId="0" borderId="9" applyNumberFormat="0" applyFill="0" applyAlignment="0" applyProtection="0"/>
    <xf numFmtId="0" fontId="47" fillId="0" borderId="10" applyNumberFormat="0" applyFill="0" applyAlignment="0" applyProtection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4" fillId="0" borderId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30" fillId="16" borderId="1" applyNumberFormat="0" applyAlignment="0" applyProtection="0"/>
    <xf numFmtId="0" fontId="30" fillId="16" borderId="1" applyNumberFormat="0" applyAlignment="0" applyProtection="0"/>
    <xf numFmtId="0" fontId="30" fillId="16" borderId="1" applyNumberFormat="0" applyAlignment="0" applyProtection="0"/>
    <xf numFmtId="0" fontId="31" fillId="17" borderId="2" applyNumberFormat="0" applyAlignment="0" applyProtection="0"/>
    <xf numFmtId="0" fontId="31" fillId="17" borderId="2" applyNumberFormat="0" applyAlignment="0" applyProtection="0"/>
    <xf numFmtId="0" fontId="31" fillId="17" borderId="2" applyNumberFormat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34" fillId="7" borderId="1" applyNumberFormat="0" applyAlignment="0" applyProtection="0"/>
    <xf numFmtId="0" fontId="34" fillId="7" borderId="1" applyNumberFormat="0" applyAlignment="0" applyProtection="0"/>
    <xf numFmtId="0" fontId="34" fillId="7" borderId="1" applyNumberFormat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9" fontId="13" fillId="0" borderId="0" applyFont="0" applyFill="0" applyBorder="0" applyAlignment="0" applyProtection="0"/>
    <xf numFmtId="0" fontId="41" fillId="16" borderId="6" applyNumberFormat="0" applyAlignment="0" applyProtection="0"/>
    <xf numFmtId="0" fontId="41" fillId="16" borderId="6" applyNumberFormat="0" applyAlignment="0" applyProtection="0"/>
    <xf numFmtId="0" fontId="41" fillId="16" borderId="6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6" fillId="0" borderId="8" applyNumberFormat="0" applyFill="0" applyAlignment="0" applyProtection="0"/>
    <xf numFmtId="0" fontId="46" fillId="0" borderId="8" applyNumberFormat="0" applyFill="0" applyAlignment="0" applyProtection="0"/>
    <xf numFmtId="0" fontId="46" fillId="0" borderId="8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7" fillId="0" borderId="10" applyNumberFormat="0" applyFill="0" applyAlignment="0" applyProtection="0"/>
    <xf numFmtId="0" fontId="47" fillId="0" borderId="10" applyNumberFormat="0" applyFill="0" applyAlignment="0" applyProtection="0"/>
    <xf numFmtId="0" fontId="47" fillId="0" borderId="10" applyNumberFormat="0" applyFill="0" applyAlignment="0" applyProtection="0"/>
    <xf numFmtId="0" fontId="12" fillId="0" borderId="0"/>
    <xf numFmtId="9" fontId="12" fillId="0" borderId="0" applyFont="0" applyFill="0" applyBorder="0" applyAlignment="0" applyProtection="0"/>
    <xf numFmtId="0" fontId="14" fillId="0" borderId="0"/>
    <xf numFmtId="43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/>
    <xf numFmtId="43" fontId="14" fillId="0" borderId="0" applyFont="0" applyFill="0" applyBorder="0" applyAlignment="0" applyProtection="0"/>
    <xf numFmtId="0" fontId="9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05" fillId="0" borderId="0"/>
    <xf numFmtId="9" fontId="8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44" fontId="1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133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138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</cellStyleXfs>
  <cellXfs count="1829">
    <xf numFmtId="0" fontId="0" fillId="0" borderId="0" xfId="0"/>
    <xf numFmtId="0" fontId="0" fillId="0" borderId="0" xfId="0" applyProtection="1">
      <protection locked="0"/>
    </xf>
    <xf numFmtId="164" fontId="14" fillId="0" borderId="0" xfId="44" applyProtection="1">
      <protection locked="0"/>
    </xf>
    <xf numFmtId="0" fontId="0" fillId="0" borderId="11" xfId="0" applyBorder="1"/>
    <xf numFmtId="164" fontId="14" fillId="0" borderId="36" xfId="44" applyFill="1" applyBorder="1"/>
    <xf numFmtId="0" fontId="19" fillId="0" borderId="0" xfId="0" applyFont="1"/>
    <xf numFmtId="0" fontId="0" fillId="0" borderId="12" xfId="0" applyBorder="1"/>
    <xf numFmtId="0" fontId="0" fillId="0" borderId="21" xfId="0" applyBorder="1"/>
    <xf numFmtId="0" fontId="0" fillId="0" borderId="24" xfId="0" applyBorder="1"/>
    <xf numFmtId="0" fontId="0" fillId="0" borderId="13" xfId="0" applyBorder="1"/>
    <xf numFmtId="43" fontId="0" fillId="0" borderId="0" xfId="0" applyNumberFormat="1"/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/>
    </xf>
    <xf numFmtId="171" fontId="20" fillId="0" borderId="0" xfId="45" applyNumberFormat="1" applyFont="1" applyFill="1"/>
    <xf numFmtId="0" fontId="15" fillId="0" borderId="0" xfId="0" applyFont="1"/>
    <xf numFmtId="164" fontId="0" fillId="0" borderId="0" xfId="0" applyNumberFormat="1"/>
    <xf numFmtId="0" fontId="19" fillId="0" borderId="47" xfId="0" applyFont="1" applyBorder="1"/>
    <xf numFmtId="0" fontId="19" fillId="0" borderId="48" xfId="0" applyFont="1" applyBorder="1" applyAlignment="1">
      <alignment horizontal="center"/>
    </xf>
    <xf numFmtId="43" fontId="19" fillId="0" borderId="50" xfId="0" applyNumberFormat="1" applyFont="1" applyBorder="1"/>
    <xf numFmtId="43" fontId="19" fillId="0" borderId="0" xfId="0" applyNumberFormat="1" applyFont="1"/>
    <xf numFmtId="0" fontId="19" fillId="0" borderId="52" xfId="0" applyFont="1" applyBorder="1"/>
    <xf numFmtId="0" fontId="19" fillId="0" borderId="53" xfId="0" applyFont="1" applyBorder="1"/>
    <xf numFmtId="0" fontId="19" fillId="0" borderId="54" xfId="0" applyFont="1" applyBorder="1"/>
    <xf numFmtId="43" fontId="19" fillId="0" borderId="0" xfId="40" applyFont="1" applyFill="1" applyBorder="1"/>
    <xf numFmtId="43" fontId="19" fillId="0" borderId="0" xfId="40" applyFont="1" applyFill="1"/>
    <xf numFmtId="0" fontId="26" fillId="0" borderId="0" xfId="0" applyFont="1" applyAlignment="1">
      <alignment horizontal="center"/>
    </xf>
    <xf numFmtId="0" fontId="19" fillId="0" borderId="55" xfId="0" applyFont="1" applyBorder="1"/>
    <xf numFmtId="0" fontId="19" fillId="0" borderId="56" xfId="0" applyFont="1" applyBorder="1"/>
    <xf numFmtId="0" fontId="19" fillId="0" borderId="57" xfId="0" applyFont="1" applyBorder="1"/>
    <xf numFmtId="170" fontId="19" fillId="0" borderId="52" xfId="40" applyNumberFormat="1" applyFont="1" applyFill="1" applyBorder="1"/>
    <xf numFmtId="43" fontId="19" fillId="0" borderId="52" xfId="40" applyFont="1" applyFill="1" applyBorder="1"/>
    <xf numFmtId="43" fontId="19" fillId="0" borderId="54" xfId="40" applyFont="1" applyFill="1" applyBorder="1"/>
    <xf numFmtId="170" fontId="19" fillId="0" borderId="58" xfId="40" applyNumberFormat="1" applyFont="1" applyFill="1" applyBorder="1"/>
    <xf numFmtId="170" fontId="19" fillId="0" borderId="60" xfId="40" applyNumberFormat="1" applyFont="1" applyFill="1" applyBorder="1"/>
    <xf numFmtId="43" fontId="19" fillId="0" borderId="55" xfId="40" applyFont="1" applyFill="1" applyBorder="1"/>
    <xf numFmtId="43" fontId="19" fillId="0" borderId="53" xfId="40" applyFont="1" applyFill="1" applyBorder="1"/>
    <xf numFmtId="170" fontId="19" fillId="0" borderId="59" xfId="40" applyNumberFormat="1" applyFont="1" applyFill="1" applyBorder="1"/>
    <xf numFmtId="164" fontId="16" fillId="0" borderId="0" xfId="44" applyFont="1" applyFill="1" applyBorder="1" applyAlignment="1">
      <alignment horizontal="center" vertical="center" wrapText="1"/>
    </xf>
    <xf numFmtId="170" fontId="19" fillId="0" borderId="53" xfId="40" applyNumberFormat="1" applyFont="1" applyFill="1" applyBorder="1"/>
    <xf numFmtId="164" fontId="14" fillId="0" borderId="36" xfId="44" applyFont="1" applyFill="1" applyBorder="1"/>
    <xf numFmtId="0" fontId="0" fillId="0" borderId="61" xfId="0" applyBorder="1"/>
    <xf numFmtId="0" fontId="0" fillId="0" borderId="60" xfId="0" applyBorder="1"/>
    <xf numFmtId="164" fontId="14" fillId="0" borderId="60" xfId="44" applyFill="1" applyBorder="1"/>
    <xf numFmtId="164" fontId="19" fillId="0" borderId="60" xfId="44" applyFont="1" applyFill="1" applyBorder="1"/>
    <xf numFmtId="170" fontId="19" fillId="0" borderId="54" xfId="40" applyNumberFormat="1" applyFont="1" applyFill="1" applyBorder="1"/>
    <xf numFmtId="3" fontId="19" fillId="0" borderId="0" xfId="0" applyNumberFormat="1" applyFont="1"/>
    <xf numFmtId="0" fontId="19" fillId="0" borderId="62" xfId="0" applyFont="1" applyBorder="1"/>
    <xf numFmtId="170" fontId="19" fillId="0" borderId="61" xfId="40" applyNumberFormat="1" applyFont="1" applyFill="1" applyBorder="1"/>
    <xf numFmtId="170" fontId="19" fillId="0" borderId="0" xfId="40" applyNumberFormat="1" applyFont="1" applyFill="1" applyBorder="1"/>
    <xf numFmtId="43" fontId="15" fillId="0" borderId="0" xfId="40" applyFont="1" applyFill="1" applyBorder="1"/>
    <xf numFmtId="4" fontId="48" fillId="0" borderId="0" xfId="0" applyNumberFormat="1" applyFont="1"/>
    <xf numFmtId="4" fontId="19" fillId="0" borderId="0" xfId="0" applyNumberFormat="1" applyFont="1"/>
    <xf numFmtId="0" fontId="52" fillId="0" borderId="30" xfId="0" applyFont="1" applyBorder="1"/>
    <xf numFmtId="0" fontId="52" fillId="0" borderId="0" xfId="0" applyFont="1"/>
    <xf numFmtId="164" fontId="50" fillId="26" borderId="19" xfId="44" applyFont="1" applyFill="1" applyBorder="1" applyAlignment="1">
      <alignment horizontal="center"/>
    </xf>
    <xf numFmtId="49" fontId="49" fillId="26" borderId="19" xfId="0" applyNumberFormat="1" applyFont="1" applyFill="1" applyBorder="1" applyAlignment="1">
      <alignment horizontal="center"/>
    </xf>
    <xf numFmtId="164" fontId="53" fillId="26" borderId="19" xfId="44" applyFont="1" applyFill="1" applyBorder="1" applyAlignment="1">
      <alignment horizontal="left"/>
    </xf>
    <xf numFmtId="164" fontId="14" fillId="0" borderId="63" xfId="44" applyFill="1" applyBorder="1"/>
    <xf numFmtId="0" fontId="19" fillId="0" borderId="36" xfId="0" applyFont="1" applyBorder="1"/>
    <xf numFmtId="43" fontId="19" fillId="0" borderId="63" xfId="40" applyFont="1" applyFill="1" applyBorder="1"/>
    <xf numFmtId="43" fontId="19" fillId="0" borderId="63" xfId="40" applyFont="1" applyFill="1" applyBorder="1" applyAlignment="1">
      <alignment horizontal="right"/>
    </xf>
    <xf numFmtId="0" fontId="19" fillId="0" borderId="82" xfId="0" applyFont="1" applyBorder="1"/>
    <xf numFmtId="43" fontId="20" fillId="0" borderId="0" xfId="0" applyNumberFormat="1" applyFont="1"/>
    <xf numFmtId="43" fontId="19" fillId="0" borderId="36" xfId="0" applyNumberFormat="1" applyFont="1" applyBorder="1"/>
    <xf numFmtId="43" fontId="54" fillId="0" borderId="36" xfId="40" applyFont="1" applyFill="1" applyBorder="1"/>
    <xf numFmtId="170" fontId="19" fillId="0" borderId="0" xfId="0" applyNumberFormat="1" applyFont="1"/>
    <xf numFmtId="170" fontId="15" fillId="0" borderId="0" xfId="0" applyNumberFormat="1" applyFont="1" applyAlignment="1">
      <alignment horizontal="center" vertical="center" wrapText="1"/>
    </xf>
    <xf numFmtId="0" fontId="58" fillId="0" borderId="0" xfId="0" applyFont="1"/>
    <xf numFmtId="4" fontId="59" fillId="0" borderId="0" xfId="0" applyNumberFormat="1" applyFont="1"/>
    <xf numFmtId="43" fontId="19" fillId="0" borderId="78" xfId="40" applyFont="1" applyFill="1" applyBorder="1"/>
    <xf numFmtId="43" fontId="19" fillId="0" borderId="57" xfId="40" applyFont="1" applyFill="1" applyBorder="1"/>
    <xf numFmtId="43" fontId="19" fillId="0" borderId="56" xfId="40" applyFont="1" applyFill="1" applyBorder="1"/>
    <xf numFmtId="10" fontId="50" fillId="26" borderId="19" xfId="0" applyNumberFormat="1" applyFont="1" applyFill="1" applyBorder="1" applyAlignment="1">
      <alignment horizontal="center"/>
    </xf>
    <xf numFmtId="0" fontId="49" fillId="0" borderId="0" xfId="0" applyFont="1" applyAlignment="1">
      <alignment horizontal="center"/>
    </xf>
    <xf numFmtId="0" fontId="62" fillId="0" borderId="0" xfId="0" applyFont="1"/>
    <xf numFmtId="0" fontId="25" fillId="0" borderId="0" xfId="0" applyFont="1"/>
    <xf numFmtId="43" fontId="25" fillId="0" borderId="49" xfId="40" applyFont="1" applyFill="1" applyBorder="1" applyAlignment="1">
      <alignment horizontal="left"/>
    </xf>
    <xf numFmtId="0" fontId="25" fillId="0" borderId="36" xfId="0" applyFont="1" applyBorder="1" applyAlignment="1">
      <alignment horizontal="center"/>
    </xf>
    <xf numFmtId="41" fontId="24" fillId="0" borderId="48" xfId="41" applyFont="1" applyFill="1" applyBorder="1" applyAlignment="1">
      <alignment horizontal="center"/>
    </xf>
    <xf numFmtId="0" fontId="25" fillId="0" borderId="66" xfId="0" applyFont="1" applyBorder="1" applyAlignment="1">
      <alignment horizontal="center"/>
    </xf>
    <xf numFmtId="43" fontId="25" fillId="0" borderId="64" xfId="40" applyFont="1" applyFill="1" applyBorder="1" applyAlignment="1">
      <alignment horizontal="left"/>
    </xf>
    <xf numFmtId="2" fontId="25" fillId="0" borderId="66" xfId="0" applyNumberFormat="1" applyFont="1" applyBorder="1" applyAlignment="1">
      <alignment horizontal="center"/>
    </xf>
    <xf numFmtId="2" fontId="24" fillId="0" borderId="95" xfId="0" applyNumberFormat="1" applyFont="1" applyBorder="1" applyAlignment="1">
      <alignment horizontal="center"/>
    </xf>
    <xf numFmtId="0" fontId="25" fillId="0" borderId="93" xfId="0" applyFont="1" applyBorder="1" applyAlignment="1">
      <alignment horizontal="center"/>
    </xf>
    <xf numFmtId="4" fontId="24" fillId="0" borderId="0" xfId="0" applyNumberFormat="1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43" fontId="24" fillId="0" borderId="0" xfId="40" applyFont="1" applyFill="1" applyBorder="1"/>
    <xf numFmtId="43" fontId="25" fillId="0" borderId="0" xfId="40" applyFont="1" applyFill="1" applyBorder="1"/>
    <xf numFmtId="0" fontId="25" fillId="0" borderId="0" xfId="0" applyFont="1" applyAlignment="1">
      <alignment horizontal="center"/>
    </xf>
    <xf numFmtId="43" fontId="25" fillId="0" borderId="0" xfId="0" applyNumberFormat="1" applyFont="1"/>
    <xf numFmtId="0" fontId="25" fillId="0" borderId="0" xfId="0" applyFont="1" applyAlignment="1">
      <alignment horizontal="right"/>
    </xf>
    <xf numFmtId="0" fontId="19" fillId="0" borderId="98" xfId="0" applyFont="1" applyBorder="1"/>
    <xf numFmtId="170" fontId="19" fillId="0" borderId="98" xfId="40" applyNumberFormat="1" applyFont="1" applyFill="1" applyBorder="1"/>
    <xf numFmtId="0" fontId="19" fillId="0" borderId="99" xfId="0" applyFont="1" applyBorder="1"/>
    <xf numFmtId="0" fontId="19" fillId="0" borderId="0" xfId="0" applyFont="1" applyAlignment="1">
      <alignment horizontal="center"/>
    </xf>
    <xf numFmtId="0" fontId="19" fillId="0" borderId="53" xfId="0" applyFont="1" applyBorder="1" applyAlignment="1">
      <alignment horizontal="center"/>
    </xf>
    <xf numFmtId="0" fontId="19" fillId="0" borderId="54" xfId="0" applyFont="1" applyBorder="1" applyAlignment="1">
      <alignment horizontal="center"/>
    </xf>
    <xf numFmtId="0" fontId="19" fillId="0" borderId="61" xfId="0" applyFont="1" applyBorder="1" applyAlignment="1">
      <alignment horizontal="center"/>
    </xf>
    <xf numFmtId="0" fontId="19" fillId="0" borderId="60" xfId="0" applyFont="1" applyBorder="1" applyAlignment="1">
      <alignment horizontal="center"/>
    </xf>
    <xf numFmtId="0" fontId="19" fillId="0" borderId="51" xfId="0" applyFont="1" applyBorder="1" applyAlignment="1">
      <alignment horizontal="center"/>
    </xf>
    <xf numFmtId="171" fontId="20" fillId="0" borderId="0" xfId="45" applyNumberFormat="1" applyFont="1" applyFill="1" applyAlignment="1">
      <alignment horizontal="center"/>
    </xf>
    <xf numFmtId="0" fontId="0" fillId="0" borderId="0" xfId="0" applyAlignment="1">
      <alignment horizontal="center"/>
    </xf>
    <xf numFmtId="170" fontId="0" fillId="0" borderId="45" xfId="0" applyNumberFormat="1" applyBorder="1" applyAlignment="1">
      <alignment horizontal="center" vertical="center" wrapText="1"/>
    </xf>
    <xf numFmtId="170" fontId="0" fillId="0" borderId="102" xfId="0" applyNumberFormat="1" applyBorder="1" applyAlignment="1">
      <alignment horizontal="center" vertical="center" wrapText="1"/>
    </xf>
    <xf numFmtId="170" fontId="19" fillId="0" borderId="95" xfId="46" applyNumberFormat="1" applyFont="1" applyFill="1" applyBorder="1" applyAlignment="1">
      <alignment horizontal="center" vertical="center" wrapText="1"/>
    </xf>
    <xf numFmtId="170" fontId="19" fillId="0" borderId="52" xfId="46" applyNumberFormat="1" applyFill="1" applyBorder="1" applyAlignment="1">
      <alignment horizontal="center" vertical="center" wrapText="1"/>
    </xf>
    <xf numFmtId="170" fontId="0" fillId="0" borderId="49" xfId="0" applyNumberFormat="1" applyBorder="1" applyAlignment="1">
      <alignment horizontal="center" vertical="center" wrapText="1"/>
    </xf>
    <xf numFmtId="170" fontId="0" fillId="0" borderId="84" xfId="0" applyNumberFormat="1" applyBorder="1" applyAlignment="1">
      <alignment horizontal="center" vertical="center" wrapText="1"/>
    </xf>
    <xf numFmtId="170" fontId="19" fillId="0" borderId="53" xfId="46" applyNumberFormat="1" applyFill="1" applyBorder="1" applyAlignment="1">
      <alignment horizontal="center" vertical="center" wrapText="1"/>
    </xf>
    <xf numFmtId="170" fontId="0" fillId="0" borderId="103" xfId="0" applyNumberFormat="1" applyBorder="1" applyAlignment="1">
      <alignment horizontal="center" vertical="center" wrapText="1"/>
    </xf>
    <xf numFmtId="170" fontId="0" fillId="0" borderId="86" xfId="0" applyNumberFormat="1" applyBorder="1" applyAlignment="1">
      <alignment horizontal="center" vertical="center" wrapText="1"/>
    </xf>
    <xf numFmtId="170" fontId="19" fillId="0" borderId="35" xfId="46" applyNumberFormat="1" applyFont="1" applyFill="1" applyBorder="1" applyAlignment="1">
      <alignment horizontal="center" vertical="center" wrapText="1"/>
    </xf>
    <xf numFmtId="170" fontId="19" fillId="0" borderId="98" xfId="46" applyNumberFormat="1" applyFill="1" applyBorder="1" applyAlignment="1">
      <alignment horizontal="center" vertical="center" wrapText="1"/>
    </xf>
    <xf numFmtId="43" fontId="19" fillId="0" borderId="62" xfId="40" applyFont="1" applyFill="1" applyBorder="1"/>
    <xf numFmtId="175" fontId="50" fillId="26" borderId="19" xfId="40" applyNumberFormat="1" applyFont="1" applyFill="1" applyBorder="1" applyAlignment="1">
      <alignment horizontal="center"/>
    </xf>
    <xf numFmtId="164" fontId="19" fillId="0" borderId="36" xfId="44" applyFont="1" applyFill="1" applyBorder="1"/>
    <xf numFmtId="2" fontId="19" fillId="0" borderId="36" xfId="44" applyNumberFormat="1" applyFont="1" applyFill="1" applyBorder="1"/>
    <xf numFmtId="164" fontId="0" fillId="0" borderId="36" xfId="44" applyFont="1" applyFill="1" applyBorder="1"/>
    <xf numFmtId="170" fontId="61" fillId="27" borderId="100" xfId="0" applyNumberFormat="1" applyFont="1" applyFill="1" applyBorder="1" applyAlignment="1">
      <alignment horizontal="center" vertical="center" wrapText="1"/>
    </xf>
    <xf numFmtId="170" fontId="61" fillId="27" borderId="21" xfId="0" applyNumberFormat="1" applyFont="1" applyFill="1" applyBorder="1" applyAlignment="1">
      <alignment horizontal="center" vertical="center" wrapText="1"/>
    </xf>
    <xf numFmtId="170" fontId="61" fillId="27" borderId="101" xfId="0" applyNumberFormat="1" applyFont="1" applyFill="1" applyBorder="1" applyAlignment="1">
      <alignment horizontal="center" vertical="center" wrapText="1"/>
    </xf>
    <xf numFmtId="170" fontId="61" fillId="27" borderId="97" xfId="0" applyNumberFormat="1" applyFont="1" applyFill="1" applyBorder="1" applyAlignment="1">
      <alignment horizontal="center" vertical="center" wrapText="1"/>
    </xf>
    <xf numFmtId="0" fontId="60" fillId="27" borderId="79" xfId="0" applyFont="1" applyFill="1" applyBorder="1" applyAlignment="1">
      <alignment horizontal="center" vertical="center" wrapText="1"/>
    </xf>
    <xf numFmtId="170" fontId="60" fillId="27" borderId="80" xfId="0" applyNumberFormat="1" applyFont="1" applyFill="1" applyBorder="1" applyAlignment="1">
      <alignment horizontal="center" vertical="center" wrapText="1"/>
    </xf>
    <xf numFmtId="170" fontId="60" fillId="27" borderId="75" xfId="0" applyNumberFormat="1" applyFont="1" applyFill="1" applyBorder="1" applyAlignment="1">
      <alignment vertical="center" wrapText="1"/>
    </xf>
    <xf numFmtId="170" fontId="60" fillId="27" borderId="91" xfId="0" applyNumberFormat="1" applyFont="1" applyFill="1" applyBorder="1" applyAlignment="1">
      <alignment vertical="center" wrapText="1"/>
    </xf>
    <xf numFmtId="0" fontId="61" fillId="27" borderId="75" xfId="0" applyFont="1" applyFill="1" applyBorder="1" applyAlignment="1">
      <alignment horizontal="center"/>
    </xf>
    <xf numFmtId="0" fontId="61" fillId="27" borderId="76" xfId="0" applyFont="1" applyFill="1" applyBorder="1" applyAlignment="1">
      <alignment horizontal="center"/>
    </xf>
    <xf numFmtId="0" fontId="61" fillId="27" borderId="77" xfId="0" applyFont="1" applyFill="1" applyBorder="1" applyAlignment="1">
      <alignment horizontal="center"/>
    </xf>
    <xf numFmtId="170" fontId="60" fillId="27" borderId="74" xfId="40" applyNumberFormat="1" applyFont="1" applyFill="1" applyBorder="1"/>
    <xf numFmtId="0" fontId="61" fillId="27" borderId="78" xfId="0" applyFont="1" applyFill="1" applyBorder="1" applyAlignment="1">
      <alignment horizontal="center"/>
    </xf>
    <xf numFmtId="0" fontId="61" fillId="27" borderId="74" xfId="0" applyFont="1" applyFill="1" applyBorder="1" applyAlignment="1">
      <alignment horizontal="center"/>
    </xf>
    <xf numFmtId="0" fontId="61" fillId="27" borderId="79" xfId="0" applyFont="1" applyFill="1" applyBorder="1" applyAlignment="1">
      <alignment horizontal="center"/>
    </xf>
    <xf numFmtId="0" fontId="61" fillId="27" borderId="81" xfId="0" applyFont="1" applyFill="1" applyBorder="1" applyAlignment="1">
      <alignment horizontal="center"/>
    </xf>
    <xf numFmtId="0" fontId="62" fillId="27" borderId="80" xfId="0" applyFont="1" applyFill="1" applyBorder="1" applyAlignment="1">
      <alignment horizontal="center"/>
    </xf>
    <xf numFmtId="0" fontId="62" fillId="27" borderId="79" xfId="0" applyFont="1" applyFill="1" applyBorder="1" applyAlignment="1">
      <alignment horizontal="center"/>
    </xf>
    <xf numFmtId="3" fontId="60" fillId="27" borderId="74" xfId="0" applyNumberFormat="1" applyFont="1" applyFill="1" applyBorder="1"/>
    <xf numFmtId="0" fontId="62" fillId="27" borderId="74" xfId="0" applyFont="1" applyFill="1" applyBorder="1" applyAlignment="1">
      <alignment horizontal="center"/>
    </xf>
    <xf numFmtId="43" fontId="24" fillId="0" borderId="45" xfId="40" applyFont="1" applyFill="1" applyBorder="1" applyAlignment="1">
      <alignment horizontal="left"/>
    </xf>
    <xf numFmtId="0" fontId="25" fillId="0" borderId="92" xfId="0" applyFont="1" applyBorder="1"/>
    <xf numFmtId="43" fontId="24" fillId="0" borderId="49" xfId="40" applyFont="1" applyFill="1" applyBorder="1" applyAlignment="1">
      <alignment horizontal="left"/>
    </xf>
    <xf numFmtId="43" fontId="53" fillId="26" borderId="76" xfId="40" applyFont="1" applyFill="1" applyBorder="1" applyAlignment="1">
      <alignment horizontal="left"/>
    </xf>
    <xf numFmtId="0" fontId="55" fillId="26" borderId="90" xfId="0" applyFont="1" applyFill="1" applyBorder="1" applyAlignment="1">
      <alignment horizontal="center"/>
    </xf>
    <xf numFmtId="0" fontId="53" fillId="26" borderId="90" xfId="0" applyFont="1" applyFill="1" applyBorder="1" applyAlignment="1">
      <alignment horizontal="center" vertical="center" wrapText="1"/>
    </xf>
    <xf numFmtId="0" fontId="53" fillId="26" borderId="91" xfId="0" applyFont="1" applyFill="1" applyBorder="1" applyAlignment="1">
      <alignment horizontal="center" vertical="center" wrapText="1"/>
    </xf>
    <xf numFmtId="164" fontId="48" fillId="0" borderId="0" xfId="44" applyFont="1" applyFill="1" applyBorder="1" applyAlignment="1">
      <alignment horizontal="right"/>
    </xf>
    <xf numFmtId="4" fontId="16" fillId="0" borderId="0" xfId="0" applyNumberFormat="1" applyFont="1" applyAlignment="1">
      <alignment horizontal="center"/>
    </xf>
    <xf numFmtId="43" fontId="19" fillId="30" borderId="63" xfId="40" applyFont="1" applyFill="1" applyBorder="1"/>
    <xf numFmtId="171" fontId="20" fillId="0" borderId="0" xfId="45" applyNumberFormat="1" applyFont="1" applyFill="1" applyBorder="1"/>
    <xf numFmtId="172" fontId="19" fillId="0" borderId="0" xfId="0" applyNumberFormat="1" applyFont="1"/>
    <xf numFmtId="172" fontId="0" fillId="0" borderId="0" xfId="0" applyNumberFormat="1"/>
    <xf numFmtId="164" fontId="50" fillId="26" borderId="68" xfId="44" applyFont="1" applyFill="1" applyBorder="1" applyAlignment="1">
      <alignment horizontal="center"/>
    </xf>
    <xf numFmtId="164" fontId="50" fillId="26" borderId="22" xfId="44" applyFont="1" applyFill="1" applyBorder="1" applyAlignment="1">
      <alignment horizontal="center"/>
    </xf>
    <xf numFmtId="164" fontId="14" fillId="0" borderId="82" xfId="44" applyFont="1" applyFill="1" applyBorder="1"/>
    <xf numFmtId="164" fontId="50" fillId="26" borderId="114" xfId="44" applyFont="1" applyFill="1" applyBorder="1" applyAlignment="1">
      <alignment horizontal="center"/>
    </xf>
    <xf numFmtId="164" fontId="14" fillId="0" borderId="53" xfId="44" applyFill="1" applyBorder="1"/>
    <xf numFmtId="0" fontId="15" fillId="0" borderId="38" xfId="0" applyFont="1" applyBorder="1" applyAlignment="1">
      <alignment horizontal="left"/>
    </xf>
    <xf numFmtId="164" fontId="14" fillId="0" borderId="0" xfId="44" applyFill="1" applyBorder="1"/>
    <xf numFmtId="164" fontId="19" fillId="0" borderId="0" xfId="44" applyFont="1" applyFill="1" applyBorder="1"/>
    <xf numFmtId="43" fontId="19" fillId="0" borderId="0" xfId="40" applyFont="1" applyFill="1" applyBorder="1" applyAlignment="1">
      <alignment horizontal="right"/>
    </xf>
    <xf numFmtId="0" fontId="49" fillId="26" borderId="0" xfId="0" applyFont="1" applyFill="1" applyAlignment="1">
      <alignment horizontal="center" vertical="center" wrapText="1"/>
    </xf>
    <xf numFmtId="49" fontId="49" fillId="26" borderId="0" xfId="0" applyNumberFormat="1" applyFont="1" applyFill="1" applyAlignment="1">
      <alignment horizontal="center"/>
    </xf>
    <xf numFmtId="0" fontId="49" fillId="29" borderId="0" xfId="0" applyFont="1" applyFill="1" applyAlignment="1">
      <alignment horizontal="center" vertical="center" wrapText="1"/>
    </xf>
    <xf numFmtId="0" fontId="0" fillId="29" borderId="0" xfId="0" applyFill="1"/>
    <xf numFmtId="43" fontId="19" fillId="29" borderId="0" xfId="40" applyFont="1" applyFill="1" applyBorder="1"/>
    <xf numFmtId="43" fontId="19" fillId="29" borderId="0" xfId="40" applyFont="1" applyFill="1" applyBorder="1" applyAlignment="1">
      <alignment horizontal="right"/>
    </xf>
    <xf numFmtId="0" fontId="49" fillId="0" borderId="0" xfId="0" applyFont="1" applyAlignment="1">
      <alignment horizontal="center" vertical="center" wrapText="1"/>
    </xf>
    <xf numFmtId="49" fontId="49" fillId="0" borderId="0" xfId="0" applyNumberFormat="1" applyFont="1" applyAlignment="1">
      <alignment horizontal="center"/>
    </xf>
    <xf numFmtId="40" fontId="0" fillId="0" borderId="0" xfId="0" applyNumberFormat="1"/>
    <xf numFmtId="180" fontId="0" fillId="0" borderId="0" xfId="57" applyNumberFormat="1" applyFont="1" applyFill="1"/>
    <xf numFmtId="178" fontId="66" fillId="31" borderId="0" xfId="40" applyNumberFormat="1" applyFont="1" applyFill="1" applyBorder="1"/>
    <xf numFmtId="0" fontId="70" fillId="34" borderId="0" xfId="210" applyFont="1" applyFill="1" applyAlignment="1">
      <alignment horizontal="left"/>
    </xf>
    <xf numFmtId="0" fontId="74" fillId="35" borderId="0" xfId="210" applyFont="1" applyFill="1" applyAlignment="1">
      <alignment horizontal="center"/>
    </xf>
    <xf numFmtId="0" fontId="74" fillId="35" borderId="0" xfId="210" applyFont="1" applyFill="1"/>
    <xf numFmtId="4" fontId="74" fillId="35" borderId="0" xfId="210" applyNumberFormat="1" applyFont="1" applyFill="1" applyAlignment="1">
      <alignment horizontal="center"/>
    </xf>
    <xf numFmtId="0" fontId="70" fillId="34" borderId="0" xfId="210" applyFont="1" applyFill="1"/>
    <xf numFmtId="0" fontId="74" fillId="29" borderId="0" xfId="210" applyFont="1" applyFill="1" applyAlignment="1">
      <alignment horizontal="center"/>
    </xf>
    <xf numFmtId="0" fontId="74" fillId="29" borderId="0" xfId="210" applyFont="1" applyFill="1"/>
    <xf numFmtId="0" fontId="70" fillId="34" borderId="0" xfId="210" applyFont="1" applyFill="1" applyAlignment="1">
      <alignment horizontal="center"/>
    </xf>
    <xf numFmtId="4" fontId="74" fillId="29" borderId="0" xfId="210" applyNumberFormat="1" applyFont="1" applyFill="1" applyAlignment="1">
      <alignment horizontal="center"/>
    </xf>
    <xf numFmtId="0" fontId="74" fillId="0" borderId="0" xfId="210" applyFont="1" applyAlignment="1">
      <alignment horizontal="center"/>
    </xf>
    <xf numFmtId="0" fontId="72" fillId="34" borderId="0" xfId="210" applyFont="1" applyFill="1"/>
    <xf numFmtId="2" fontId="74" fillId="29" borderId="0" xfId="210" applyNumberFormat="1" applyFont="1" applyFill="1" applyAlignment="1">
      <alignment horizontal="center"/>
    </xf>
    <xf numFmtId="2" fontId="74" fillId="0" borderId="0" xfId="210" applyNumberFormat="1" applyFont="1" applyAlignment="1">
      <alignment horizontal="center"/>
    </xf>
    <xf numFmtId="2" fontId="74" fillId="35" borderId="0" xfId="210" applyNumberFormat="1" applyFont="1" applyFill="1" applyAlignment="1">
      <alignment horizontal="center"/>
    </xf>
    <xf numFmtId="4" fontId="70" fillId="34" borderId="0" xfId="210" applyNumberFormat="1" applyFont="1" applyFill="1" applyAlignment="1">
      <alignment horizontal="center"/>
    </xf>
    <xf numFmtId="0" fontId="77" fillId="29" borderId="0" xfId="210" applyFont="1" applyFill="1" applyAlignment="1">
      <alignment horizontal="left"/>
    </xf>
    <xf numFmtId="0" fontId="70" fillId="34" borderId="0" xfId="210" applyFont="1" applyFill="1" applyAlignment="1">
      <alignment horizontal="right"/>
    </xf>
    <xf numFmtId="0" fontId="79" fillId="34" borderId="0" xfId="210" applyFont="1" applyFill="1"/>
    <xf numFmtId="0" fontId="67" fillId="0" borderId="0" xfId="212" applyFont="1"/>
    <xf numFmtId="0" fontId="68" fillId="33" borderId="0" xfId="212" applyFont="1" applyFill="1"/>
    <xf numFmtId="0" fontId="69" fillId="33" borderId="0" xfId="212" applyFont="1" applyFill="1"/>
    <xf numFmtId="0" fontId="11" fillId="0" borderId="0" xfId="212"/>
    <xf numFmtId="0" fontId="70" fillId="0" borderId="0" xfId="212" applyFont="1" applyAlignment="1">
      <alignment horizontal="center"/>
    </xf>
    <xf numFmtId="0" fontId="71" fillId="0" borderId="0" xfId="212" applyFont="1"/>
    <xf numFmtId="0" fontId="70" fillId="34" borderId="0" xfId="212" applyFont="1" applyFill="1" applyAlignment="1">
      <alignment horizontal="center" vertical="center" wrapText="1"/>
    </xf>
    <xf numFmtId="0" fontId="70" fillId="34" borderId="0" xfId="212" applyFont="1" applyFill="1" applyAlignment="1">
      <alignment horizontal="center" vertical="center"/>
    </xf>
    <xf numFmtId="0" fontId="72" fillId="34" borderId="0" xfId="212" applyFont="1" applyFill="1"/>
    <xf numFmtId="0" fontId="11" fillId="0" borderId="0" xfId="212" applyAlignment="1">
      <alignment horizontal="left" indent="1"/>
    </xf>
    <xf numFmtId="3" fontId="73" fillId="0" borderId="0" xfId="212" applyNumberFormat="1" applyFont="1" applyAlignment="1">
      <alignment horizontal="center"/>
    </xf>
    <xf numFmtId="3" fontId="73" fillId="1" borderId="0" xfId="212" applyNumberFormat="1" applyFont="1" applyFill="1" applyAlignment="1">
      <alignment horizontal="center"/>
    </xf>
    <xf numFmtId="3" fontId="73" fillId="0" borderId="0" xfId="212" applyNumberFormat="1" applyFont="1"/>
    <xf numFmtId="167" fontId="73" fillId="0" borderId="0" xfId="213" applyNumberFormat="1" applyFont="1" applyBorder="1"/>
    <xf numFmtId="0" fontId="73" fillId="1" borderId="0" xfId="212" applyFont="1" applyFill="1" applyAlignment="1">
      <alignment horizontal="center"/>
    </xf>
    <xf numFmtId="0" fontId="75" fillId="30" borderId="0" xfId="212" applyFont="1" applyFill="1" applyAlignment="1">
      <alignment horizontal="left" indent="1"/>
    </xf>
    <xf numFmtId="3" fontId="76" fillId="30" borderId="0" xfId="212" applyNumberFormat="1" applyFont="1" applyFill="1" applyAlignment="1">
      <alignment horizontal="center"/>
    </xf>
    <xf numFmtId="0" fontId="70" fillId="34" borderId="0" xfId="212" applyFont="1" applyFill="1"/>
    <xf numFmtId="3" fontId="70" fillId="34" borderId="0" xfId="212" applyNumberFormat="1" applyFont="1" applyFill="1"/>
    <xf numFmtId="167" fontId="70" fillId="34" borderId="0" xfId="213" applyNumberFormat="1" applyFont="1" applyFill="1" applyBorder="1"/>
    <xf numFmtId="0" fontId="78" fillId="0" borderId="0" xfId="212" applyFont="1"/>
    <xf numFmtId="0" fontId="11" fillId="0" borderId="0" xfId="212" applyAlignment="1">
      <alignment horizontal="center"/>
    </xf>
    <xf numFmtId="2" fontId="11" fillId="0" borderId="0" xfId="212" applyNumberFormat="1" applyAlignment="1">
      <alignment horizontal="center"/>
    </xf>
    <xf numFmtId="3" fontId="80" fillId="31" borderId="78" xfId="212" applyNumberFormat="1" applyFont="1" applyFill="1" applyBorder="1" applyAlignment="1">
      <alignment horizontal="center"/>
    </xf>
    <xf numFmtId="3" fontId="80" fillId="31" borderId="116" xfId="212" applyNumberFormat="1" applyFont="1" applyFill="1" applyBorder="1" applyAlignment="1">
      <alignment horizontal="center"/>
    </xf>
    <xf numFmtId="0" fontId="73" fillId="0" borderId="0" xfId="212" applyFont="1"/>
    <xf numFmtId="3" fontId="81" fillId="31" borderId="100" xfId="212" applyNumberFormat="1" applyFont="1" applyFill="1" applyBorder="1" applyAlignment="1">
      <alignment horizontal="center"/>
    </xf>
    <xf numFmtId="0" fontId="11" fillId="34" borderId="0" xfId="212" applyFill="1"/>
    <xf numFmtId="0" fontId="15" fillId="0" borderId="111" xfId="212" applyFont="1" applyBorder="1" applyAlignment="1">
      <alignment horizontal="center"/>
    </xf>
    <xf numFmtId="0" fontId="15" fillId="0" borderId="32" xfId="212" applyFont="1" applyBorder="1" applyAlignment="1">
      <alignment horizontal="center"/>
    </xf>
    <xf numFmtId="0" fontId="15" fillId="0" borderId="73" xfId="212" applyFont="1" applyBorder="1" applyAlignment="1">
      <alignment horizontal="center"/>
    </xf>
    <xf numFmtId="0" fontId="15" fillId="0" borderId="25" xfId="212" applyFont="1" applyBorder="1"/>
    <xf numFmtId="171" fontId="0" fillId="0" borderId="16" xfId="214" applyNumberFormat="1" applyFont="1" applyBorder="1"/>
    <xf numFmtId="171" fontId="0" fillId="0" borderId="17" xfId="214" applyNumberFormat="1" applyFont="1" applyBorder="1"/>
    <xf numFmtId="171" fontId="0" fillId="0" borderId="117" xfId="214" applyNumberFormat="1" applyFont="1" applyBorder="1"/>
    <xf numFmtId="4" fontId="11" fillId="0" borderId="0" xfId="212" applyNumberFormat="1" applyAlignment="1">
      <alignment horizontal="center"/>
    </xf>
    <xf numFmtId="0" fontId="15" fillId="0" borderId="26" xfId="212" applyFont="1" applyBorder="1"/>
    <xf numFmtId="171" fontId="0" fillId="0" borderId="14" xfId="214" applyNumberFormat="1" applyFont="1" applyBorder="1"/>
    <xf numFmtId="171" fontId="0" fillId="0" borderId="19" xfId="214" applyNumberFormat="1" applyFont="1" applyBorder="1"/>
    <xf numFmtId="171" fontId="0" fillId="0" borderId="27" xfId="214" applyNumberFormat="1" applyFont="1" applyBorder="1"/>
    <xf numFmtId="0" fontId="15" fillId="0" borderId="118" xfId="212" applyFont="1" applyBorder="1"/>
    <xf numFmtId="171" fontId="14" fillId="0" borderId="119" xfId="214" applyNumberFormat="1" applyFont="1" applyBorder="1" applyAlignment="1">
      <alignment horizontal="right"/>
    </xf>
    <xf numFmtId="171" fontId="0" fillId="0" borderId="42" xfId="214" applyNumberFormat="1" applyFont="1" applyBorder="1"/>
    <xf numFmtId="171" fontId="0" fillId="0" borderId="72" xfId="214" applyNumberFormat="1" applyFont="1" applyBorder="1"/>
    <xf numFmtId="0" fontId="15" fillId="0" borderId="74" xfId="212" applyFont="1" applyBorder="1"/>
    <xf numFmtId="171" fontId="0" fillId="0" borderId="110" xfId="214" applyNumberFormat="1" applyFont="1" applyBorder="1"/>
    <xf numFmtId="171" fontId="0" fillId="0" borderId="90" xfId="214" applyNumberFormat="1" applyFont="1" applyBorder="1"/>
    <xf numFmtId="171" fontId="0" fillId="0" borderId="91" xfId="214" applyNumberFormat="1" applyFont="1" applyBorder="1"/>
    <xf numFmtId="0" fontId="70" fillId="34" borderId="0" xfId="212" applyFont="1" applyFill="1" applyAlignment="1">
      <alignment horizontal="center"/>
    </xf>
    <xf numFmtId="171" fontId="11" fillId="0" borderId="0" xfId="212" applyNumberFormat="1"/>
    <xf numFmtId="0" fontId="75" fillId="0" borderId="0" xfId="212" applyFont="1"/>
    <xf numFmtId="171" fontId="75" fillId="0" borderId="0" xfId="212" applyNumberFormat="1" applyFont="1"/>
    <xf numFmtId="3" fontId="11" fillId="0" borderId="0" xfId="212" applyNumberFormat="1"/>
    <xf numFmtId="3" fontId="75" fillId="0" borderId="0" xfId="212" applyNumberFormat="1" applyFont="1"/>
    <xf numFmtId="3" fontId="79" fillId="31" borderId="74" xfId="212" applyNumberFormat="1" applyFont="1" applyFill="1" applyBorder="1"/>
    <xf numFmtId="3" fontId="82" fillId="0" borderId="0" xfId="212" applyNumberFormat="1" applyFont="1"/>
    <xf numFmtId="43" fontId="0" fillId="0" borderId="0" xfId="40" applyFont="1" applyBorder="1"/>
    <xf numFmtId="43" fontId="0" fillId="0" borderId="0" xfId="40" applyFont="1"/>
    <xf numFmtId="43" fontId="57" fillId="0" borderId="0" xfId="40" applyFont="1" applyBorder="1"/>
    <xf numFmtId="43" fontId="14" fillId="0" borderId="0" xfId="0" applyNumberFormat="1" applyFont="1" applyAlignment="1">
      <alignment horizontal="center"/>
    </xf>
    <xf numFmtId="164" fontId="19" fillId="0" borderId="0" xfId="0" applyNumberFormat="1" applyFont="1"/>
    <xf numFmtId="0" fontId="14" fillId="0" borderId="98" xfId="0" applyFont="1" applyBorder="1"/>
    <xf numFmtId="0" fontId="14" fillId="0" borderId="53" xfId="0" applyFont="1" applyBorder="1"/>
    <xf numFmtId="182" fontId="19" fillId="0" borderId="0" xfId="0" applyNumberFormat="1" applyFont="1"/>
    <xf numFmtId="10" fontId="50" fillId="26" borderId="19" xfId="57" applyNumberFormat="1" applyFont="1" applyFill="1" applyBorder="1" applyAlignment="1">
      <alignment horizontal="center"/>
    </xf>
    <xf numFmtId="9" fontId="11" fillId="0" borderId="0" xfId="57" applyFont="1"/>
    <xf numFmtId="9" fontId="11" fillId="0" borderId="0" xfId="57" applyFont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0" borderId="59" xfId="0" applyFont="1" applyBorder="1" applyAlignment="1">
      <alignment horizontal="center"/>
    </xf>
    <xf numFmtId="181" fontId="16" fillId="31" borderId="19" xfId="40" applyNumberFormat="1" applyFont="1" applyFill="1" applyBorder="1" applyAlignment="1">
      <alignment horizontal="center"/>
    </xf>
    <xf numFmtId="41" fontId="24" fillId="0" borderId="0" xfId="0" applyNumberFormat="1" applyFont="1"/>
    <xf numFmtId="3" fontId="83" fillId="0" borderId="120" xfId="212" applyNumberFormat="1" applyFont="1" applyBorder="1"/>
    <xf numFmtId="0" fontId="84" fillId="0" borderId="0" xfId="212" applyFont="1"/>
    <xf numFmtId="3" fontId="80" fillId="31" borderId="29" xfId="212" applyNumberFormat="1" applyFont="1" applyFill="1" applyBorder="1" applyAlignment="1">
      <alignment horizontal="center"/>
    </xf>
    <xf numFmtId="3" fontId="80" fillId="31" borderId="11" xfId="212" applyNumberFormat="1" applyFont="1" applyFill="1" applyBorder="1" applyAlignment="1">
      <alignment horizontal="center"/>
    </xf>
    <xf numFmtId="3" fontId="81" fillId="31" borderId="79" xfId="212" applyNumberFormat="1" applyFont="1" applyFill="1" applyBorder="1" applyAlignment="1">
      <alignment horizontal="center"/>
    </xf>
    <xf numFmtId="9" fontId="83" fillId="0" borderId="88" xfId="57" applyFont="1" applyBorder="1" applyAlignment="1">
      <alignment horizontal="center"/>
    </xf>
    <xf numFmtId="9" fontId="83" fillId="0" borderId="67" xfId="57" applyFont="1" applyBorder="1" applyAlignment="1">
      <alignment horizontal="center"/>
    </xf>
    <xf numFmtId="3" fontId="83" fillId="0" borderId="5" xfId="212" applyNumberFormat="1" applyFont="1" applyBorder="1"/>
    <xf numFmtId="9" fontId="83" fillId="0" borderId="89" xfId="57" applyFont="1" applyBorder="1" applyAlignment="1">
      <alignment horizontal="center"/>
    </xf>
    <xf numFmtId="3" fontId="83" fillId="0" borderId="106" xfId="212" applyNumberFormat="1" applyFont="1" applyBorder="1"/>
    <xf numFmtId="2" fontId="87" fillId="29" borderId="0" xfId="0" applyNumberFormat="1" applyFont="1" applyFill="1" applyAlignment="1">
      <alignment horizontal="center"/>
    </xf>
    <xf numFmtId="43" fontId="14" fillId="0" borderId="0" xfId="0" applyNumberFormat="1" applyFont="1" applyAlignment="1">
      <alignment vertical="center"/>
    </xf>
    <xf numFmtId="0" fontId="88" fillId="0" borderId="0" xfId="173" applyFont="1"/>
    <xf numFmtId="171" fontId="88" fillId="24" borderId="33" xfId="216" applyNumberFormat="1" applyFont="1" applyFill="1" applyBorder="1"/>
    <xf numFmtId="171" fontId="88" fillId="24" borderId="33" xfId="210" applyNumberFormat="1" applyFont="1" applyFill="1" applyBorder="1"/>
    <xf numFmtId="0" fontId="88" fillId="24" borderId="33" xfId="210" applyFont="1" applyFill="1" applyBorder="1" applyAlignment="1">
      <alignment horizontal="center"/>
    </xf>
    <xf numFmtId="0" fontId="88" fillId="24" borderId="101" xfId="210" applyFont="1" applyFill="1" applyBorder="1"/>
    <xf numFmtId="0" fontId="88" fillId="24" borderId="28" xfId="210" applyFont="1" applyFill="1" applyBorder="1"/>
    <xf numFmtId="0" fontId="88" fillId="24" borderId="28" xfId="210" applyFont="1" applyFill="1" applyBorder="1" applyAlignment="1">
      <alignment horizontal="center"/>
    </xf>
    <xf numFmtId="0" fontId="88" fillId="24" borderId="121" xfId="210" applyFont="1" applyFill="1" applyBorder="1"/>
    <xf numFmtId="171" fontId="88" fillId="24" borderId="28" xfId="216" applyNumberFormat="1" applyFont="1" applyFill="1" applyBorder="1"/>
    <xf numFmtId="0" fontId="68" fillId="34" borderId="117" xfId="210" applyFont="1" applyFill="1" applyBorder="1" applyAlignment="1">
      <alignment horizontal="center"/>
    </xf>
    <xf numFmtId="0" fontId="68" fillId="34" borderId="17" xfId="210" applyFont="1" applyFill="1" applyBorder="1" applyAlignment="1">
      <alignment horizontal="center"/>
    </xf>
    <xf numFmtId="0" fontId="68" fillId="34" borderId="18" xfId="210" applyFont="1" applyFill="1" applyBorder="1" applyAlignment="1">
      <alignment horizontal="center"/>
    </xf>
    <xf numFmtId="0" fontId="68" fillId="34" borderId="16" xfId="210" applyFont="1" applyFill="1" applyBorder="1"/>
    <xf numFmtId="0" fontId="88" fillId="24" borderId="33" xfId="210" applyFont="1" applyFill="1" applyBorder="1"/>
    <xf numFmtId="0" fontId="88" fillId="24" borderId="11" xfId="210" applyFont="1" applyFill="1" applyBorder="1"/>
    <xf numFmtId="10" fontId="89" fillId="0" borderId="37" xfId="173" applyNumberFormat="1" applyFont="1" applyBorder="1"/>
    <xf numFmtId="10" fontId="89" fillId="0" borderId="21" xfId="173" applyNumberFormat="1" applyFont="1" applyBorder="1"/>
    <xf numFmtId="0" fontId="68" fillId="34" borderId="111" xfId="173" applyFont="1" applyFill="1" applyBorder="1" applyAlignment="1">
      <alignment horizontal="center"/>
    </xf>
    <xf numFmtId="0" fontId="68" fillId="34" borderId="101" xfId="173" applyFont="1" applyFill="1" applyBorder="1" applyAlignment="1">
      <alignment horizontal="center"/>
    </xf>
    <xf numFmtId="0" fontId="14" fillId="0" borderId="11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9" fillId="0" borderId="49" xfId="0" applyFont="1" applyBorder="1" applyAlignment="1">
      <alignment horizontal="center"/>
    </xf>
    <xf numFmtId="40" fontId="62" fillId="0" borderId="0" xfId="0" applyNumberFormat="1" applyFont="1"/>
    <xf numFmtId="183" fontId="62" fillId="0" borderId="0" xfId="0" applyNumberFormat="1" applyFont="1"/>
    <xf numFmtId="0" fontId="9" fillId="0" borderId="0" xfId="217"/>
    <xf numFmtId="0" fontId="67" fillId="0" borderId="0" xfId="217" applyFont="1"/>
    <xf numFmtId="0" fontId="68" fillId="33" borderId="0" xfId="217" applyFont="1" applyFill="1"/>
    <xf numFmtId="0" fontId="69" fillId="33" borderId="0" xfId="217" applyFont="1" applyFill="1"/>
    <xf numFmtId="0" fontId="90" fillId="0" borderId="0" xfId="210" applyFont="1"/>
    <xf numFmtId="0" fontId="88" fillId="0" borderId="0" xfId="210" applyFont="1"/>
    <xf numFmtId="0" fontId="88" fillId="24" borderId="121" xfId="210" applyFont="1" applyFill="1" applyBorder="1" applyAlignment="1">
      <alignment horizontal="left" indent="1"/>
    </xf>
    <xf numFmtId="10" fontId="88" fillId="29" borderId="28" xfId="218" applyNumberFormat="1" applyFont="1" applyFill="1" applyBorder="1" applyAlignment="1">
      <alignment horizontal="center"/>
    </xf>
    <xf numFmtId="10" fontId="89" fillId="0" borderId="28" xfId="218" applyNumberFormat="1" applyFont="1" applyFill="1" applyBorder="1" applyAlignment="1">
      <alignment horizontal="center"/>
    </xf>
    <xf numFmtId="10" fontId="88" fillId="29" borderId="35" xfId="218" applyNumberFormat="1" applyFont="1" applyFill="1" applyBorder="1" applyAlignment="1">
      <alignment horizontal="center"/>
    </xf>
    <xf numFmtId="167" fontId="88" fillId="0" borderId="0" xfId="218" applyNumberFormat="1" applyFont="1" applyBorder="1"/>
    <xf numFmtId="0" fontId="91" fillId="0" borderId="0" xfId="210" applyFont="1"/>
    <xf numFmtId="0" fontId="88" fillId="24" borderId="101" xfId="210" applyFont="1" applyFill="1" applyBorder="1" applyAlignment="1">
      <alignment horizontal="left" indent="1"/>
    </xf>
    <xf numFmtId="10" fontId="88" fillId="29" borderId="33" xfId="218" applyNumberFormat="1" applyFont="1" applyFill="1" applyBorder="1" applyAlignment="1">
      <alignment horizontal="center"/>
    </xf>
    <xf numFmtId="10" fontId="89" fillId="29" borderId="33" xfId="218" applyNumberFormat="1" applyFont="1" applyFill="1" applyBorder="1" applyAlignment="1">
      <alignment horizontal="center"/>
    </xf>
    <xf numFmtId="10" fontId="88" fillId="29" borderId="97" xfId="218" applyNumberFormat="1" applyFont="1" applyFill="1" applyBorder="1" applyAlignment="1">
      <alignment horizontal="center"/>
    </xf>
    <xf numFmtId="10" fontId="88" fillId="29" borderId="0" xfId="218" applyNumberFormat="1" applyFont="1" applyFill="1" applyBorder="1" applyAlignment="1">
      <alignment horizontal="center"/>
    </xf>
    <xf numFmtId="0" fontId="68" fillId="34" borderId="16" xfId="210" applyFont="1" applyFill="1" applyBorder="1" applyAlignment="1">
      <alignment horizontal="left" indent="1"/>
    </xf>
    <xf numFmtId="0" fontId="88" fillId="24" borderId="17" xfId="210" applyFont="1" applyFill="1" applyBorder="1" applyAlignment="1">
      <alignment horizontal="center"/>
    </xf>
    <xf numFmtId="10" fontId="89" fillId="29" borderId="117" xfId="218" applyNumberFormat="1" applyFont="1" applyFill="1" applyBorder="1" applyAlignment="1">
      <alignment horizontal="center"/>
    </xf>
    <xf numFmtId="164" fontId="88" fillId="0" borderId="0" xfId="219" applyFont="1" applyBorder="1"/>
    <xf numFmtId="0" fontId="68" fillId="34" borderId="34" xfId="210" applyFont="1" applyFill="1" applyBorder="1" applyAlignment="1">
      <alignment horizontal="left" indent="1"/>
    </xf>
    <xf numFmtId="0" fontId="88" fillId="24" borderId="20" xfId="210" applyFont="1" applyFill="1" applyBorder="1" applyAlignment="1">
      <alignment horizontal="center"/>
    </xf>
    <xf numFmtId="10" fontId="89" fillId="29" borderId="122" xfId="210" applyNumberFormat="1" applyFont="1" applyFill="1" applyBorder="1" applyAlignment="1">
      <alignment horizontal="center"/>
    </xf>
    <xf numFmtId="0" fontId="88" fillId="24" borderId="0" xfId="210" applyFont="1" applyFill="1"/>
    <xf numFmtId="164" fontId="88" fillId="0" borderId="0" xfId="219" applyFont="1"/>
    <xf numFmtId="171" fontId="88" fillId="24" borderId="28" xfId="219" applyNumberFormat="1" applyFont="1" applyFill="1" applyBorder="1"/>
    <xf numFmtId="171" fontId="88" fillId="24" borderId="35" xfId="219" applyNumberFormat="1" applyFont="1" applyFill="1" applyBorder="1"/>
    <xf numFmtId="0" fontId="88" fillId="0" borderId="11" xfId="210" applyFont="1" applyBorder="1"/>
    <xf numFmtId="0" fontId="88" fillId="0" borderId="28" xfId="210" applyFont="1" applyBorder="1" applyAlignment="1">
      <alignment horizontal="center"/>
    </xf>
    <xf numFmtId="171" fontId="88" fillId="0" borderId="28" xfId="219" applyNumberFormat="1" applyFont="1" applyFill="1" applyBorder="1"/>
    <xf numFmtId="171" fontId="88" fillId="0" borderId="35" xfId="219" applyNumberFormat="1" applyFont="1" applyFill="1" applyBorder="1"/>
    <xf numFmtId="0" fontId="88" fillId="0" borderId="13" xfId="210" applyFont="1" applyBorder="1"/>
    <xf numFmtId="0" fontId="88" fillId="0" borderId="33" xfId="210" applyFont="1" applyBorder="1" applyAlignment="1">
      <alignment horizontal="center"/>
    </xf>
    <xf numFmtId="171" fontId="92" fillId="0" borderId="33" xfId="219" applyNumberFormat="1" applyFont="1" applyFill="1" applyBorder="1"/>
    <xf numFmtId="171" fontId="92" fillId="0" borderId="97" xfId="219" applyNumberFormat="1" applyFont="1" applyFill="1" applyBorder="1"/>
    <xf numFmtId="0" fontId="88" fillId="0" borderId="0" xfId="210" applyFont="1" applyAlignment="1">
      <alignment horizontal="center"/>
    </xf>
    <xf numFmtId="171" fontId="88" fillId="0" borderId="0" xfId="219" applyNumberFormat="1" applyFont="1" applyFill="1" applyBorder="1"/>
    <xf numFmtId="0" fontId="68" fillId="34" borderId="25" xfId="210" applyFont="1" applyFill="1" applyBorder="1"/>
    <xf numFmtId="0" fontId="68" fillId="37" borderId="74" xfId="210" applyFont="1" applyFill="1" applyBorder="1" applyAlignment="1">
      <alignment horizontal="center"/>
    </xf>
    <xf numFmtId="171" fontId="88" fillId="0" borderId="24" xfId="219" applyNumberFormat="1" applyFont="1" applyFill="1" applyBorder="1"/>
    <xf numFmtId="0" fontId="89" fillId="0" borderId="78" xfId="210" applyFont="1" applyBorder="1" applyAlignment="1">
      <alignment horizontal="center"/>
    </xf>
    <xf numFmtId="0" fontId="88" fillId="35" borderId="78" xfId="210" applyFont="1" applyFill="1" applyBorder="1" applyAlignment="1">
      <alignment horizontal="center"/>
    </xf>
    <xf numFmtId="0" fontId="69" fillId="0" borderId="0" xfId="210" applyFont="1"/>
    <xf numFmtId="0" fontId="89" fillId="0" borderId="116" xfId="210" applyFont="1" applyBorder="1" applyAlignment="1">
      <alignment horizontal="center"/>
    </xf>
    <xf numFmtId="0" fontId="88" fillId="35" borderId="116" xfId="210" applyFont="1" applyFill="1" applyBorder="1" applyAlignment="1">
      <alignment horizontal="center"/>
    </xf>
    <xf numFmtId="0" fontId="88" fillId="24" borderId="13" xfId="210" applyFont="1" applyFill="1" applyBorder="1"/>
    <xf numFmtId="171" fontId="88" fillId="0" borderId="33" xfId="219" applyNumberFormat="1" applyFont="1" applyFill="1" applyBorder="1"/>
    <xf numFmtId="171" fontId="88" fillId="0" borderId="12" xfId="219" applyNumberFormat="1" applyFont="1" applyFill="1" applyBorder="1"/>
    <xf numFmtId="171" fontId="88" fillId="0" borderId="21" xfId="219" applyNumberFormat="1" applyFont="1" applyFill="1" applyBorder="1"/>
    <xf numFmtId="0" fontId="89" fillId="0" borderId="100" xfId="210" applyFont="1" applyBorder="1" applyAlignment="1">
      <alignment horizontal="center"/>
    </xf>
    <xf numFmtId="0" fontId="88" fillId="35" borderId="100" xfId="210" applyFont="1" applyFill="1" applyBorder="1" applyAlignment="1">
      <alignment horizontal="center"/>
    </xf>
    <xf numFmtId="0" fontId="88" fillId="24" borderId="0" xfId="210" applyFont="1" applyFill="1" applyAlignment="1">
      <alignment horizontal="center"/>
    </xf>
    <xf numFmtId="0" fontId="90" fillId="24" borderId="28" xfId="210" applyFont="1" applyFill="1" applyBorder="1" applyAlignment="1">
      <alignment horizontal="center"/>
    </xf>
    <xf numFmtId="0" fontId="93" fillId="0" borderId="0" xfId="210" applyFont="1"/>
    <xf numFmtId="0" fontId="88" fillId="24" borderId="30" xfId="210" applyFont="1" applyFill="1" applyBorder="1" applyAlignment="1">
      <alignment horizontal="center"/>
    </xf>
    <xf numFmtId="171" fontId="88" fillId="0" borderId="30" xfId="219" applyNumberFormat="1" applyFont="1" applyFill="1" applyBorder="1"/>
    <xf numFmtId="0" fontId="90" fillId="0" borderId="0" xfId="210" applyFont="1" applyAlignment="1">
      <alignment horizontal="center"/>
    </xf>
    <xf numFmtId="171" fontId="88" fillId="24" borderId="0" xfId="219" applyNumberFormat="1" applyFont="1" applyFill="1" applyBorder="1"/>
    <xf numFmtId="171" fontId="88" fillId="24" borderId="24" xfId="219" applyNumberFormat="1" applyFont="1" applyFill="1" applyBorder="1"/>
    <xf numFmtId="171" fontId="88" fillId="0" borderId="0" xfId="210" applyNumberFormat="1" applyFont="1"/>
    <xf numFmtId="171" fontId="88" fillId="24" borderId="33" xfId="219" applyNumberFormat="1" applyFont="1" applyFill="1" applyBorder="1"/>
    <xf numFmtId="171" fontId="88" fillId="24" borderId="12" xfId="219" applyNumberFormat="1" applyFont="1" applyFill="1" applyBorder="1"/>
    <xf numFmtId="171" fontId="88" fillId="24" borderId="21" xfId="219" applyNumberFormat="1" applyFont="1" applyFill="1" applyBorder="1"/>
    <xf numFmtId="0" fontId="88" fillId="0" borderId="121" xfId="210" applyFont="1" applyBorder="1"/>
    <xf numFmtId="0" fontId="88" fillId="0" borderId="28" xfId="210" applyFont="1" applyBorder="1"/>
    <xf numFmtId="0" fontId="90" fillId="30" borderId="34" xfId="210" applyFont="1" applyFill="1" applyBorder="1"/>
    <xf numFmtId="0" fontId="88" fillId="30" borderId="20" xfId="210" applyFont="1" applyFill="1" applyBorder="1"/>
    <xf numFmtId="171" fontId="88" fillId="30" borderId="20" xfId="210" applyNumberFormat="1" applyFont="1" applyFill="1" applyBorder="1"/>
    <xf numFmtId="171" fontId="88" fillId="30" borderId="122" xfId="210" applyNumberFormat="1" applyFont="1" applyFill="1" applyBorder="1"/>
    <xf numFmtId="0" fontId="88" fillId="29" borderId="0" xfId="210" applyFont="1" applyFill="1"/>
    <xf numFmtId="0" fontId="90" fillId="29" borderId="0" xfId="210" applyFont="1" applyFill="1"/>
    <xf numFmtId="171" fontId="88" fillId="29" borderId="0" xfId="210" applyNumberFormat="1" applyFont="1" applyFill="1"/>
    <xf numFmtId="41" fontId="88" fillId="24" borderId="28" xfId="210" applyNumberFormat="1" applyFont="1" applyFill="1" applyBorder="1"/>
    <xf numFmtId="0" fontId="88" fillId="24" borderId="97" xfId="210" applyFont="1" applyFill="1" applyBorder="1"/>
    <xf numFmtId="0" fontId="68" fillId="34" borderId="117" xfId="210" applyFont="1" applyFill="1" applyBorder="1" applyAlignment="1">
      <alignment horizontal="left"/>
    </xf>
    <xf numFmtId="3" fontId="88" fillId="24" borderId="28" xfId="210" applyNumberFormat="1" applyFont="1" applyFill="1" applyBorder="1"/>
    <xf numFmtId="0" fontId="88" fillId="24" borderId="35" xfId="210" applyFont="1" applyFill="1" applyBorder="1"/>
    <xf numFmtId="171" fontId="88" fillId="24" borderId="97" xfId="219" applyNumberFormat="1" applyFont="1" applyFill="1" applyBorder="1"/>
    <xf numFmtId="0" fontId="68" fillId="34" borderId="17" xfId="210" applyFont="1" applyFill="1" applyBorder="1" applyAlignment="1">
      <alignment horizontal="center" vertical="center"/>
    </xf>
    <xf numFmtId="0" fontId="88" fillId="24" borderId="121" xfId="210" applyFont="1" applyFill="1" applyBorder="1" applyAlignment="1">
      <alignment horizontal="left" vertical="center" indent="1"/>
    </xf>
    <xf numFmtId="0" fontId="88" fillId="29" borderId="28" xfId="210" applyFont="1" applyFill="1" applyBorder="1" applyAlignment="1">
      <alignment horizontal="center" vertical="center"/>
    </xf>
    <xf numFmtId="171" fontId="88" fillId="29" borderId="28" xfId="210" applyNumberFormat="1" applyFont="1" applyFill="1" applyBorder="1"/>
    <xf numFmtId="171" fontId="88" fillId="29" borderId="35" xfId="210" applyNumberFormat="1" applyFont="1" applyFill="1" applyBorder="1"/>
    <xf numFmtId="0" fontId="88" fillId="24" borderId="103" xfId="210" applyFont="1" applyFill="1" applyBorder="1" applyAlignment="1">
      <alignment horizontal="left" vertical="center" indent="1"/>
    </xf>
    <xf numFmtId="0" fontId="88" fillId="29" borderId="82" xfId="210" applyFont="1" applyFill="1" applyBorder="1" applyAlignment="1">
      <alignment horizontal="center" vertical="center"/>
    </xf>
    <xf numFmtId="171" fontId="88" fillId="29" borderId="82" xfId="210" applyNumberFormat="1" applyFont="1" applyFill="1" applyBorder="1"/>
    <xf numFmtId="171" fontId="88" fillId="29" borderId="112" xfId="210" applyNumberFormat="1" applyFont="1" applyFill="1" applyBorder="1"/>
    <xf numFmtId="0" fontId="88" fillId="24" borderId="101" xfId="210" applyFont="1" applyFill="1" applyBorder="1" applyAlignment="1">
      <alignment horizontal="left" vertical="center" indent="1"/>
    </xf>
    <xf numFmtId="0" fontId="88" fillId="29" borderId="33" xfId="210" applyFont="1" applyFill="1" applyBorder="1" applyAlignment="1">
      <alignment horizontal="center" vertical="center"/>
    </xf>
    <xf numFmtId="171" fontId="88" fillId="29" borderId="33" xfId="210" applyNumberFormat="1" applyFont="1" applyFill="1" applyBorder="1"/>
    <xf numFmtId="171" fontId="88" fillId="29" borderId="97" xfId="210" applyNumberFormat="1" applyFont="1" applyFill="1" applyBorder="1"/>
    <xf numFmtId="0" fontId="90" fillId="24" borderId="119" xfId="210" applyFont="1" applyFill="1" applyBorder="1" applyAlignment="1">
      <alignment vertical="center"/>
    </xf>
    <xf numFmtId="0" fontId="88" fillId="29" borderId="42" xfId="210" applyFont="1" applyFill="1" applyBorder="1" applyAlignment="1">
      <alignment horizontal="center" vertical="center"/>
    </xf>
    <xf numFmtId="0" fontId="88" fillId="29" borderId="42" xfId="210" applyFont="1" applyFill="1" applyBorder="1"/>
    <xf numFmtId="171" fontId="88" fillId="29" borderId="42" xfId="210" applyNumberFormat="1" applyFont="1" applyFill="1" applyBorder="1"/>
    <xf numFmtId="171" fontId="88" fillId="29" borderId="72" xfId="210" applyNumberFormat="1" applyFont="1" applyFill="1" applyBorder="1"/>
    <xf numFmtId="171" fontId="90" fillId="29" borderId="28" xfId="210" applyNumberFormat="1" applyFont="1" applyFill="1" applyBorder="1"/>
    <xf numFmtId="171" fontId="90" fillId="29" borderId="35" xfId="210" applyNumberFormat="1" applyFont="1" applyFill="1" applyBorder="1"/>
    <xf numFmtId="0" fontId="88" fillId="29" borderId="28" xfId="210" applyFont="1" applyFill="1" applyBorder="1"/>
    <xf numFmtId="0" fontId="90" fillId="24" borderId="96" xfId="210" applyFont="1" applyFill="1" applyBorder="1" applyAlignment="1">
      <alignment horizontal="left" vertical="center" indent="1"/>
    </xf>
    <xf numFmtId="0" fontId="88" fillId="29" borderId="39" xfId="210" applyFont="1" applyFill="1" applyBorder="1" applyAlignment="1">
      <alignment horizontal="center" vertical="center"/>
    </xf>
    <xf numFmtId="0" fontId="90" fillId="29" borderId="39" xfId="210" applyFont="1" applyFill="1" applyBorder="1"/>
    <xf numFmtId="171" fontId="90" fillId="29" borderId="39" xfId="210" applyNumberFormat="1" applyFont="1" applyFill="1" applyBorder="1"/>
    <xf numFmtId="171" fontId="90" fillId="29" borderId="40" xfId="210" applyNumberFormat="1" applyFont="1" applyFill="1" applyBorder="1"/>
    <xf numFmtId="0" fontId="90" fillId="24" borderId="121" xfId="210" applyFont="1" applyFill="1" applyBorder="1" applyAlignment="1">
      <alignment horizontal="left" vertical="center"/>
    </xf>
    <xf numFmtId="0" fontId="88" fillId="29" borderId="39" xfId="210" applyFont="1" applyFill="1" applyBorder="1"/>
    <xf numFmtId="0" fontId="90" fillId="24" borderId="14" xfId="210" applyFont="1" applyFill="1" applyBorder="1" applyAlignment="1">
      <alignment vertical="center"/>
    </xf>
    <xf numFmtId="0" fontId="88" fillId="29" borderId="19" xfId="210" applyFont="1" applyFill="1" applyBorder="1" applyAlignment="1">
      <alignment horizontal="center" vertical="center"/>
    </xf>
    <xf numFmtId="0" fontId="90" fillId="24" borderId="121" xfId="210" applyFont="1" applyFill="1" applyBorder="1" applyAlignment="1">
      <alignment vertical="center"/>
    </xf>
    <xf numFmtId="0" fontId="90" fillId="29" borderId="101" xfId="210" applyFont="1" applyFill="1" applyBorder="1" applyAlignment="1">
      <alignment horizontal="left" indent="1"/>
    </xf>
    <xf numFmtId="0" fontId="88" fillId="29" borderId="33" xfId="210" applyFont="1" applyFill="1" applyBorder="1"/>
    <xf numFmtId="171" fontId="90" fillId="29" borderId="33" xfId="210" applyNumberFormat="1" applyFont="1" applyFill="1" applyBorder="1"/>
    <xf numFmtId="171" fontId="90" fillId="29" borderId="97" xfId="210" applyNumberFormat="1" applyFont="1" applyFill="1" applyBorder="1"/>
    <xf numFmtId="0" fontId="90" fillId="30" borderId="76" xfId="210" applyFont="1" applyFill="1" applyBorder="1"/>
    <xf numFmtId="0" fontId="90" fillId="30" borderId="90" xfId="210" applyFont="1" applyFill="1" applyBorder="1" applyAlignment="1">
      <alignment horizontal="center" vertical="center"/>
    </xf>
    <xf numFmtId="0" fontId="90" fillId="30" borderId="90" xfId="210" applyFont="1" applyFill="1" applyBorder="1"/>
    <xf numFmtId="171" fontId="90" fillId="30" borderId="90" xfId="210" applyNumberFormat="1" applyFont="1" applyFill="1" applyBorder="1"/>
    <xf numFmtId="171" fontId="90" fillId="30" borderId="91" xfId="210" applyNumberFormat="1" applyFont="1" applyFill="1" applyBorder="1"/>
    <xf numFmtId="0" fontId="68" fillId="34" borderId="25" xfId="210" applyFont="1" applyFill="1" applyBorder="1" applyAlignment="1">
      <alignment horizontal="center" vertical="center"/>
    </xf>
    <xf numFmtId="0" fontId="88" fillId="34" borderId="41" xfId="210" applyFont="1" applyFill="1" applyBorder="1"/>
    <xf numFmtId="0" fontId="88" fillId="24" borderId="12" xfId="210" applyFont="1" applyFill="1" applyBorder="1" applyAlignment="1">
      <alignment vertical="center"/>
    </xf>
    <xf numFmtId="186" fontId="88" fillId="24" borderId="33" xfId="219" applyNumberFormat="1" applyFont="1" applyFill="1" applyBorder="1" applyAlignment="1">
      <alignment horizontal="center" vertical="center"/>
    </xf>
    <xf numFmtId="186" fontId="88" fillId="24" borderId="97" xfId="219" applyNumberFormat="1" applyFont="1" applyFill="1" applyBorder="1" applyAlignment="1">
      <alignment horizontal="center" vertical="center"/>
    </xf>
    <xf numFmtId="186" fontId="88" fillId="29" borderId="0" xfId="210" applyNumberFormat="1" applyFont="1" applyFill="1"/>
    <xf numFmtId="0" fontId="68" fillId="0" borderId="0" xfId="210" applyFont="1" applyAlignment="1">
      <alignment horizontal="center"/>
    </xf>
    <xf numFmtId="171" fontId="90" fillId="0" borderId="0" xfId="210" applyNumberFormat="1" applyFont="1"/>
    <xf numFmtId="0" fontId="88" fillId="29" borderId="0" xfId="210" applyFont="1" applyFill="1" applyAlignment="1">
      <alignment horizontal="center" vertical="center"/>
    </xf>
    <xf numFmtId="0" fontId="68" fillId="34" borderId="76" xfId="210" applyFont="1" applyFill="1" applyBorder="1" applyAlignment="1">
      <alignment horizontal="center" vertical="center"/>
    </xf>
    <xf numFmtId="0" fontId="88" fillId="0" borderId="80" xfId="210" applyFont="1" applyBorder="1"/>
    <xf numFmtId="0" fontId="68" fillId="34" borderId="90" xfId="210" applyFont="1" applyFill="1" applyBorder="1" applyAlignment="1">
      <alignment horizontal="center" vertical="center"/>
    </xf>
    <xf numFmtId="0" fontId="68" fillId="34" borderId="91" xfId="210" applyFont="1" applyFill="1" applyBorder="1" applyAlignment="1">
      <alignment horizontal="center" vertical="center" wrapText="1"/>
    </xf>
    <xf numFmtId="0" fontId="88" fillId="0" borderId="116" xfId="210" applyFont="1" applyBorder="1" applyAlignment="1">
      <alignment horizontal="left" indent="1"/>
    </xf>
    <xf numFmtId="167" fontId="88" fillId="0" borderId="35" xfId="220" applyNumberFormat="1" applyFont="1" applyFill="1" applyBorder="1" applyAlignment="1">
      <alignment horizontal="center"/>
    </xf>
    <xf numFmtId="170" fontId="88" fillId="0" borderId="0" xfId="219" applyNumberFormat="1" applyFont="1" applyFill="1" applyBorder="1"/>
    <xf numFmtId="0" fontId="88" fillId="0" borderId="116" xfId="210" applyFont="1" applyBorder="1" applyAlignment="1">
      <alignment horizontal="left" vertical="justify" indent="1"/>
    </xf>
    <xf numFmtId="9" fontId="88" fillId="0" borderId="0" xfId="220" applyFont="1" applyFill="1" applyBorder="1"/>
    <xf numFmtId="0" fontId="88" fillId="0" borderId="100" xfId="210" applyFont="1" applyBorder="1" applyAlignment="1">
      <alignment horizontal="left" indent="1"/>
    </xf>
    <xf numFmtId="167" fontId="88" fillId="0" borderId="97" xfId="220" applyNumberFormat="1" applyFont="1" applyFill="1" applyBorder="1" applyAlignment="1">
      <alignment horizontal="center"/>
    </xf>
    <xf numFmtId="0" fontId="69" fillId="0" borderId="0" xfId="210" applyFont="1" applyAlignment="1">
      <alignment horizontal="center"/>
    </xf>
    <xf numFmtId="170" fontId="93" fillId="0" borderId="0" xfId="219" applyNumberFormat="1" applyFont="1" applyFill="1" applyBorder="1"/>
    <xf numFmtId="0" fontId="68" fillId="34" borderId="79" xfId="210" applyFont="1" applyFill="1" applyBorder="1"/>
    <xf numFmtId="0" fontId="68" fillId="34" borderId="80" xfId="210" applyFont="1" applyFill="1" applyBorder="1" applyAlignment="1">
      <alignment horizontal="center"/>
    </xf>
    <xf numFmtId="0" fontId="68" fillId="34" borderId="90" xfId="210" applyFont="1" applyFill="1" applyBorder="1" applyAlignment="1">
      <alignment horizontal="center"/>
    </xf>
    <xf numFmtId="0" fontId="68" fillId="34" borderId="91" xfId="210" applyFont="1" applyFill="1" applyBorder="1" applyAlignment="1">
      <alignment horizontal="center"/>
    </xf>
    <xf numFmtId="0" fontId="88" fillId="0" borderId="29" xfId="210" applyFont="1" applyBorder="1"/>
    <xf numFmtId="0" fontId="88" fillId="0" borderId="30" xfId="210" applyFont="1" applyBorder="1" applyAlignment="1">
      <alignment horizontal="center"/>
    </xf>
    <xf numFmtId="170" fontId="88" fillId="0" borderId="32" xfId="219" applyNumberFormat="1" applyFont="1" applyFill="1" applyBorder="1" applyAlignment="1">
      <alignment horizontal="right"/>
    </xf>
    <xf numFmtId="170" fontId="88" fillId="0" borderId="73" xfId="219" applyNumberFormat="1" applyFont="1" applyFill="1" applyBorder="1" applyAlignment="1">
      <alignment horizontal="right"/>
    </xf>
    <xf numFmtId="0" fontId="90" fillId="0" borderId="11" xfId="210" applyFont="1" applyBorder="1"/>
    <xf numFmtId="170" fontId="88" fillId="0" borderId="28" xfId="219" applyNumberFormat="1" applyFont="1" applyFill="1" applyBorder="1" applyAlignment="1">
      <alignment horizontal="right"/>
    </xf>
    <xf numFmtId="170" fontId="88" fillId="0" borderId="35" xfId="219" applyNumberFormat="1" applyFont="1" applyFill="1" applyBorder="1" applyAlignment="1">
      <alignment horizontal="right"/>
    </xf>
    <xf numFmtId="170" fontId="88" fillId="0" borderId="28" xfId="219" applyNumberFormat="1" applyFont="1" applyFill="1" applyBorder="1"/>
    <xf numFmtId="170" fontId="88" fillId="0" borderId="35" xfId="219" applyNumberFormat="1" applyFont="1" applyFill="1" applyBorder="1"/>
    <xf numFmtId="0" fontId="88" fillId="0" borderId="12" xfId="210" applyFont="1" applyBorder="1" applyAlignment="1">
      <alignment horizontal="center"/>
    </xf>
    <xf numFmtId="170" fontId="88" fillId="0" borderId="33" xfId="219" applyNumberFormat="1" applyFont="1" applyFill="1" applyBorder="1" applyAlignment="1">
      <alignment horizontal="right"/>
    </xf>
    <xf numFmtId="170" fontId="88" fillId="0" borderId="97" xfId="219" applyNumberFormat="1" applyFont="1" applyFill="1" applyBorder="1" applyAlignment="1">
      <alignment horizontal="right"/>
    </xf>
    <xf numFmtId="170" fontId="90" fillId="0" borderId="0" xfId="219" applyNumberFormat="1" applyFont="1" applyFill="1" applyBorder="1"/>
    <xf numFmtId="0" fontId="68" fillId="34" borderId="76" xfId="210" applyFont="1" applyFill="1" applyBorder="1"/>
    <xf numFmtId="0" fontId="90" fillId="0" borderId="90" xfId="210" applyFont="1" applyBorder="1" applyAlignment="1">
      <alignment horizontal="center"/>
    </xf>
    <xf numFmtId="170" fontId="90" fillId="0" borderId="90" xfId="210" applyNumberFormat="1" applyFont="1" applyBorder="1" applyAlignment="1">
      <alignment horizontal="center"/>
    </xf>
    <xf numFmtId="170" fontId="90" fillId="0" borderId="91" xfId="210" applyNumberFormat="1" applyFont="1" applyBorder="1" applyAlignment="1">
      <alignment horizontal="center"/>
    </xf>
    <xf numFmtId="0" fontId="88" fillId="0" borderId="90" xfId="210" applyFont="1" applyBorder="1" applyAlignment="1">
      <alignment horizontal="center"/>
    </xf>
    <xf numFmtId="170" fontId="88" fillId="0" borderId="90" xfId="219" applyNumberFormat="1" applyFont="1" applyFill="1" applyBorder="1"/>
    <xf numFmtId="9" fontId="88" fillId="0" borderId="90" xfId="220" applyFont="1" applyFill="1" applyBorder="1"/>
    <xf numFmtId="9" fontId="88" fillId="0" borderId="91" xfId="220" applyFont="1" applyFill="1" applyBorder="1"/>
    <xf numFmtId="171" fontId="90" fillId="0" borderId="0" xfId="219" applyNumberFormat="1" applyFont="1" applyFill="1" applyBorder="1"/>
    <xf numFmtId="0" fontId="88" fillId="0" borderId="80" xfId="210" applyFont="1" applyBorder="1" applyAlignment="1">
      <alignment horizontal="center"/>
    </xf>
    <xf numFmtId="0" fontId="69" fillId="0" borderId="0" xfId="210" applyFont="1" applyAlignment="1">
      <alignment horizontal="left"/>
    </xf>
    <xf numFmtId="170" fontId="88" fillId="0" borderId="0" xfId="210" applyNumberFormat="1" applyFont="1"/>
    <xf numFmtId="170" fontId="88" fillId="0" borderId="0" xfId="219" applyNumberFormat="1" applyFont="1" applyFill="1" applyBorder="1" applyAlignment="1">
      <alignment horizontal="center"/>
    </xf>
    <xf numFmtId="0" fontId="90" fillId="0" borderId="0" xfId="210" applyFont="1" applyAlignment="1">
      <alignment horizontal="center" vertical="center"/>
    </xf>
    <xf numFmtId="0" fontId="88" fillId="0" borderId="0" xfId="210" applyFont="1" applyAlignment="1">
      <alignment vertical="center"/>
    </xf>
    <xf numFmtId="0" fontId="90" fillId="0" borderId="0" xfId="210" applyFont="1" applyAlignment="1">
      <alignment vertical="center"/>
    </xf>
    <xf numFmtId="1" fontId="88" fillId="0" borderId="0" xfId="210" applyNumberFormat="1" applyFont="1" applyAlignment="1">
      <alignment vertical="center"/>
    </xf>
    <xf numFmtId="171" fontId="88" fillId="0" borderId="0" xfId="219" applyNumberFormat="1" applyFont="1" applyFill="1" applyBorder="1" applyAlignment="1">
      <alignment vertical="center"/>
    </xf>
    <xf numFmtId="0" fontId="88" fillId="0" borderId="0" xfId="210" applyFont="1" applyAlignment="1">
      <alignment horizontal="left" vertical="center"/>
    </xf>
    <xf numFmtId="0" fontId="90" fillId="0" borderId="0" xfId="210" applyFont="1" applyAlignment="1">
      <alignment horizontal="left" vertical="center"/>
    </xf>
    <xf numFmtId="187" fontId="88" fillId="0" borderId="0" xfId="219" applyNumberFormat="1" applyFont="1" applyFill="1" applyBorder="1" applyAlignment="1">
      <alignment vertical="center"/>
    </xf>
    <xf numFmtId="2" fontId="88" fillId="0" borderId="0" xfId="210" applyNumberFormat="1" applyFont="1" applyAlignment="1">
      <alignment vertical="center"/>
    </xf>
    <xf numFmtId="0" fontId="88" fillId="0" borderId="0" xfId="210" applyFont="1" applyAlignment="1">
      <alignment horizontal="right"/>
    </xf>
    <xf numFmtId="171" fontId="90" fillId="0" borderId="0" xfId="219" applyNumberFormat="1" applyFont="1" applyFill="1" applyBorder="1" applyAlignment="1">
      <alignment horizontal="right" vertical="center"/>
    </xf>
    <xf numFmtId="170" fontId="88" fillId="0" borderId="0" xfId="210" applyNumberFormat="1" applyFont="1" applyAlignment="1">
      <alignment vertical="center"/>
    </xf>
    <xf numFmtId="171" fontId="88" fillId="0" borderId="0" xfId="210" applyNumberFormat="1" applyFont="1" applyAlignment="1">
      <alignment vertical="center"/>
    </xf>
    <xf numFmtId="188" fontId="88" fillId="0" borderId="0" xfId="210" applyNumberFormat="1" applyFont="1" applyAlignment="1">
      <alignment horizontal="right"/>
    </xf>
    <xf numFmtId="0" fontId="88" fillId="0" borderId="0" xfId="210" applyFont="1" applyAlignment="1">
      <alignment horizontal="left" vertical="center" indent="2"/>
    </xf>
    <xf numFmtId="171" fontId="94" fillId="0" borderId="0" xfId="219" applyNumberFormat="1" applyFont="1" applyFill="1" applyBorder="1" applyAlignment="1">
      <alignment vertical="center"/>
    </xf>
    <xf numFmtId="170" fontId="77" fillId="0" borderId="0" xfId="210" applyNumberFormat="1" applyFont="1" applyAlignment="1">
      <alignment vertical="center"/>
    </xf>
    <xf numFmtId="3" fontId="88" fillId="0" borderId="0" xfId="210" applyNumberFormat="1" applyFont="1"/>
    <xf numFmtId="171" fontId="90" fillId="0" borderId="0" xfId="219" applyNumberFormat="1" applyFont="1" applyFill="1" applyBorder="1" applyAlignment="1">
      <alignment vertical="center"/>
    </xf>
    <xf numFmtId="0" fontId="90" fillId="0" borderId="0" xfId="210" applyFont="1" applyAlignment="1">
      <alignment horizontal="right"/>
    </xf>
    <xf numFmtId="167" fontId="90" fillId="0" borderId="0" xfId="218" applyNumberFormat="1" applyFont="1" applyFill="1" applyBorder="1"/>
    <xf numFmtId="171" fontId="90" fillId="0" borderId="0" xfId="210" applyNumberFormat="1" applyFont="1" applyAlignment="1">
      <alignment vertical="center"/>
    </xf>
    <xf numFmtId="188" fontId="88" fillId="0" borderId="0" xfId="210" applyNumberFormat="1" applyFont="1"/>
    <xf numFmtId="2" fontId="90" fillId="0" borderId="0" xfId="210" applyNumberFormat="1" applyFont="1"/>
    <xf numFmtId="174" fontId="90" fillId="0" borderId="0" xfId="218" applyNumberFormat="1" applyFont="1" applyFill="1" applyBorder="1" applyAlignment="1">
      <alignment horizontal="center"/>
    </xf>
    <xf numFmtId="0" fontId="88" fillId="0" borderId="0" xfId="210" applyFont="1" applyAlignment="1">
      <alignment horizontal="center" vertical="center"/>
    </xf>
    <xf numFmtId="171" fontId="88" fillId="0" borderId="0" xfId="210" applyNumberFormat="1" applyFont="1" applyAlignment="1">
      <alignment horizontal="center" vertical="center"/>
    </xf>
    <xf numFmtId="1" fontId="90" fillId="0" borderId="0" xfId="218" applyNumberFormat="1" applyFont="1" applyFill="1" applyBorder="1" applyAlignment="1">
      <alignment horizontal="center"/>
    </xf>
    <xf numFmtId="175" fontId="90" fillId="0" borderId="0" xfId="210" applyNumberFormat="1" applyFont="1" applyAlignment="1">
      <alignment horizontal="center" vertical="center"/>
    </xf>
    <xf numFmtId="0" fontId="93" fillId="38" borderId="0" xfId="210" applyFont="1" applyFill="1"/>
    <xf numFmtId="188" fontId="93" fillId="0" borderId="0" xfId="210" applyNumberFormat="1" applyFont="1" applyAlignment="1">
      <alignment horizontal="right"/>
    </xf>
    <xf numFmtId="10" fontId="88" fillId="0" borderId="0" xfId="218" applyNumberFormat="1" applyFont="1" applyFill="1" applyBorder="1" applyAlignment="1">
      <alignment horizontal="center"/>
    </xf>
    <xf numFmtId="10" fontId="88" fillId="0" borderId="0" xfId="210" applyNumberFormat="1" applyFont="1" applyAlignment="1">
      <alignment horizontal="center"/>
    </xf>
    <xf numFmtId="10" fontId="88" fillId="0" borderId="0" xfId="210" applyNumberFormat="1" applyFont="1"/>
    <xf numFmtId="171" fontId="88" fillId="0" borderId="0" xfId="219" applyNumberFormat="1" applyFont="1" applyFill="1" applyBorder="1" applyAlignment="1">
      <alignment horizontal="center"/>
    </xf>
    <xf numFmtId="171" fontId="88" fillId="0" borderId="0" xfId="219" applyNumberFormat="1" applyFont="1" applyFill="1" applyBorder="1" applyAlignment="1">
      <alignment horizontal="right"/>
    </xf>
    <xf numFmtId="0" fontId="90" fillId="0" borderId="0" xfId="210" applyFont="1" applyAlignment="1">
      <alignment wrapText="1"/>
    </xf>
    <xf numFmtId="1" fontId="88" fillId="0" borderId="0" xfId="210" applyNumberFormat="1" applyFont="1"/>
    <xf numFmtId="1" fontId="88" fillId="24" borderId="0" xfId="210" applyNumberFormat="1" applyFont="1" applyFill="1"/>
    <xf numFmtId="0" fontId="90" fillId="24" borderId="0" xfId="210" applyFont="1" applyFill="1"/>
    <xf numFmtId="171" fontId="90" fillId="24" borderId="0" xfId="219" applyNumberFormat="1" applyFont="1" applyFill="1" applyBorder="1"/>
    <xf numFmtId="171" fontId="81" fillId="31" borderId="19" xfId="210" applyNumberFormat="1" applyFont="1" applyFill="1" applyBorder="1"/>
    <xf numFmtId="171" fontId="81" fillId="31" borderId="27" xfId="210" applyNumberFormat="1" applyFont="1" applyFill="1" applyBorder="1"/>
    <xf numFmtId="0" fontId="14" fillId="0" borderId="0" xfId="0" applyFont="1" applyAlignment="1">
      <alignment vertical="center" wrapText="1"/>
    </xf>
    <xf numFmtId="43" fontId="19" fillId="0" borderId="123" xfId="40" applyFont="1" applyFill="1" applyBorder="1"/>
    <xf numFmtId="3" fontId="84" fillId="0" borderId="0" xfId="212" applyNumberFormat="1" applyFont="1"/>
    <xf numFmtId="0" fontId="84" fillId="0" borderId="0" xfId="212" applyFont="1" applyAlignment="1">
      <alignment horizontal="left" indent="1"/>
    </xf>
    <xf numFmtId="0" fontId="95" fillId="34" borderId="0" xfId="0" applyFont="1" applyFill="1" applyAlignment="1">
      <alignment horizontal="center" vertical="center"/>
    </xf>
    <xf numFmtId="0" fontId="95" fillId="34" borderId="0" xfId="0" applyFont="1" applyFill="1" applyAlignment="1">
      <alignment horizontal="center" vertical="center" wrapText="1"/>
    </xf>
    <xf numFmtId="0" fontId="66" fillId="0" borderId="0" xfId="0" applyFont="1" applyAlignment="1">
      <alignment horizontal="left" indent="1"/>
    </xf>
    <xf numFmtId="3" fontId="66" fillId="36" borderId="0" xfId="0" applyNumberFormat="1" applyFont="1" applyFill="1" applyAlignment="1">
      <alignment horizontal="center"/>
    </xf>
    <xf numFmtId="3" fontId="66" fillId="1" borderId="0" xfId="0" applyNumberFormat="1" applyFont="1" applyFill="1" applyAlignment="1">
      <alignment horizontal="center"/>
    </xf>
    <xf numFmtId="3" fontId="66" fillId="0" borderId="0" xfId="0" applyNumberFormat="1" applyFont="1" applyAlignment="1">
      <alignment horizontal="center"/>
    </xf>
    <xf numFmtId="9" fontId="66" fillId="0" borderId="0" xfId="57" applyFont="1" applyAlignment="1">
      <alignment horizontal="center"/>
    </xf>
    <xf numFmtId="185" fontId="66" fillId="0" borderId="0" xfId="0" applyNumberFormat="1" applyFont="1" applyAlignment="1">
      <alignment horizontal="center"/>
    </xf>
    <xf numFmtId="0" fontId="66" fillId="1" borderId="0" xfId="0" applyFont="1" applyFill="1" applyAlignment="1">
      <alignment horizontal="center"/>
    </xf>
    <xf numFmtId="0" fontId="96" fillId="30" borderId="0" xfId="0" applyFont="1" applyFill="1" applyAlignment="1">
      <alignment horizontal="left" indent="1"/>
    </xf>
    <xf numFmtId="3" fontId="96" fillId="30" borderId="0" xfId="0" applyNumberFormat="1" applyFont="1" applyFill="1" applyAlignment="1">
      <alignment horizontal="center"/>
    </xf>
    <xf numFmtId="185" fontId="96" fillId="30" borderId="0" xfId="0" applyNumberFormat="1" applyFont="1" applyFill="1" applyAlignment="1">
      <alignment horizontal="center"/>
    </xf>
    <xf numFmtId="9" fontId="96" fillId="30" borderId="0" xfId="57" applyFont="1" applyFill="1" applyAlignment="1">
      <alignment horizontal="center"/>
    </xf>
    <xf numFmtId="43" fontId="11" fillId="0" borderId="0" xfId="40" applyFont="1"/>
    <xf numFmtId="0" fontId="67" fillId="0" borderId="0" xfId="0" applyFont="1"/>
    <xf numFmtId="0" fontId="68" fillId="33" borderId="0" xfId="0" applyFont="1" applyFill="1"/>
    <xf numFmtId="0" fontId="69" fillId="33" borderId="0" xfId="0" applyFont="1" applyFill="1"/>
    <xf numFmtId="171" fontId="97" fillId="31" borderId="28" xfId="219" applyNumberFormat="1" applyFont="1" applyFill="1" applyBorder="1"/>
    <xf numFmtId="171" fontId="97" fillId="31" borderId="35" xfId="219" applyNumberFormat="1" applyFont="1" applyFill="1" applyBorder="1"/>
    <xf numFmtId="171" fontId="98" fillId="31" borderId="28" xfId="219" applyNumberFormat="1" applyFont="1" applyFill="1" applyBorder="1"/>
    <xf numFmtId="171" fontId="98" fillId="31" borderId="35" xfId="219" applyNumberFormat="1" applyFont="1" applyFill="1" applyBorder="1"/>
    <xf numFmtId="0" fontId="97" fillId="31" borderId="19" xfId="210" applyFont="1" applyFill="1" applyBorder="1"/>
    <xf numFmtId="171" fontId="86" fillId="31" borderId="19" xfId="210" applyNumberFormat="1" applyFont="1" applyFill="1" applyBorder="1"/>
    <xf numFmtId="171" fontId="86" fillId="31" borderId="27" xfId="210" applyNumberFormat="1" applyFont="1" applyFill="1" applyBorder="1"/>
    <xf numFmtId="0" fontId="81" fillId="31" borderId="74" xfId="0" applyFont="1" applyFill="1" applyBorder="1" applyAlignment="1">
      <alignment horizontal="center" vertical="center" wrapText="1"/>
    </xf>
    <xf numFmtId="0" fontId="88" fillId="0" borderId="0" xfId="0" applyFont="1"/>
    <xf numFmtId="0" fontId="68" fillId="0" borderId="0" xfId="0" applyFont="1" applyAlignment="1">
      <alignment horizontal="left" indent="1"/>
    </xf>
    <xf numFmtId="0" fontId="68" fillId="33" borderId="0" xfId="0" applyFont="1" applyFill="1" applyAlignment="1">
      <alignment horizontal="left" indent="1"/>
    </xf>
    <xf numFmtId="167" fontId="92" fillId="0" borderId="0" xfId="220" applyNumberFormat="1" applyFont="1"/>
    <xf numFmtId="41" fontId="67" fillId="40" borderId="0" xfId="0" applyNumberFormat="1" applyFont="1" applyFill="1"/>
    <xf numFmtId="171" fontId="67" fillId="0" borderId="0" xfId="0" applyNumberFormat="1" applyFont="1"/>
    <xf numFmtId="164" fontId="67" fillId="0" borderId="0" xfId="0" applyNumberFormat="1" applyFont="1"/>
    <xf numFmtId="171" fontId="92" fillId="0" borderId="0" xfId="0" applyNumberFormat="1" applyFont="1"/>
    <xf numFmtId="167" fontId="67" fillId="0" borderId="0" xfId="220" applyNumberFormat="1" applyFont="1"/>
    <xf numFmtId="0" fontId="67" fillId="24" borderId="0" xfId="0" applyFont="1" applyFill="1"/>
    <xf numFmtId="171" fontId="93" fillId="0" borderId="0" xfId="0" applyNumberFormat="1" applyFont="1"/>
    <xf numFmtId="9" fontId="67" fillId="0" borderId="0" xfId="220" applyFont="1"/>
    <xf numFmtId="0" fontId="67" fillId="29" borderId="0" xfId="0" applyFont="1" applyFill="1"/>
    <xf numFmtId="167" fontId="89" fillId="0" borderId="0" xfId="220" applyNumberFormat="1" applyFont="1"/>
    <xf numFmtId="167" fontId="88" fillId="0" borderId="0" xfId="220" applyNumberFormat="1" applyFont="1"/>
    <xf numFmtId="0" fontId="99" fillId="29" borderId="0" xfId="0" applyFont="1" applyFill="1" applyAlignment="1">
      <alignment horizontal="left" indent="1"/>
    </xf>
    <xf numFmtId="0" fontId="67" fillId="0" borderId="0" xfId="0" applyFont="1" applyAlignment="1">
      <alignment horizontal="left"/>
    </xf>
    <xf numFmtId="167" fontId="88" fillId="29" borderId="0" xfId="0" applyNumberFormat="1" applyFont="1" applyFill="1" applyAlignment="1">
      <alignment horizontal="center"/>
    </xf>
    <xf numFmtId="0" fontId="88" fillId="29" borderId="0" xfId="0" applyFont="1" applyFill="1" applyAlignment="1">
      <alignment horizontal="left"/>
    </xf>
    <xf numFmtId="0" fontId="77" fillId="29" borderId="0" xfId="0" applyFont="1" applyFill="1" applyAlignment="1">
      <alignment horizontal="left" indent="2"/>
    </xf>
    <xf numFmtId="9" fontId="100" fillId="29" borderId="0" xfId="0" applyNumberFormat="1" applyFont="1" applyFill="1" applyAlignment="1">
      <alignment horizontal="center"/>
    </xf>
    <xf numFmtId="9" fontId="78" fillId="0" borderId="0" xfId="0" applyNumberFormat="1" applyFont="1" applyAlignment="1">
      <alignment horizontal="center"/>
    </xf>
    <xf numFmtId="0" fontId="68" fillId="37" borderId="0" xfId="0" applyFont="1" applyFill="1" applyAlignment="1">
      <alignment horizontal="left" indent="1"/>
    </xf>
    <xf numFmtId="0" fontId="68" fillId="37" borderId="0" xfId="0" applyFont="1" applyFill="1"/>
    <xf numFmtId="0" fontId="67" fillId="0" borderId="0" xfId="0" applyFont="1" applyAlignment="1">
      <alignment horizontal="left" indent="1"/>
    </xf>
    <xf numFmtId="167" fontId="88" fillId="0" borderId="0" xfId="0" applyNumberFormat="1" applyFont="1"/>
    <xf numFmtId="0" fontId="68" fillId="37" borderId="0" xfId="0" applyFont="1" applyFill="1" applyAlignment="1">
      <alignment horizontal="left" indent="2"/>
    </xf>
    <xf numFmtId="0" fontId="78" fillId="0" borderId="0" xfId="0" applyFont="1" applyAlignment="1">
      <alignment horizontal="left" indent="3"/>
    </xf>
    <xf numFmtId="171" fontId="78" fillId="0" borderId="0" xfId="0" applyNumberFormat="1" applyFont="1"/>
    <xf numFmtId="171" fontId="89" fillId="0" borderId="0" xfId="0" applyNumberFormat="1" applyFont="1"/>
    <xf numFmtId="0" fontId="88" fillId="0" borderId="0" xfId="0" applyFont="1" applyAlignment="1">
      <alignment horizontal="left" indent="1"/>
    </xf>
    <xf numFmtId="0" fontId="88" fillId="29" borderId="0" xfId="0" applyFont="1" applyFill="1" applyAlignment="1">
      <alignment horizontal="left" indent="1"/>
    </xf>
    <xf numFmtId="170" fontId="93" fillId="0" borderId="0" xfId="0" applyNumberFormat="1" applyFont="1"/>
    <xf numFmtId="43" fontId="67" fillId="0" borderId="0" xfId="0" applyNumberFormat="1" applyFont="1"/>
    <xf numFmtId="0" fontId="101" fillId="0" borderId="0" xfId="0" applyFont="1"/>
    <xf numFmtId="171" fontId="101" fillId="0" borderId="0" xfId="0" applyNumberFormat="1" applyFont="1"/>
    <xf numFmtId="9" fontId="93" fillId="0" borderId="0" xfId="0" applyNumberFormat="1" applyFont="1"/>
    <xf numFmtId="170" fontId="67" fillId="0" borderId="0" xfId="0" applyNumberFormat="1" applyFont="1"/>
    <xf numFmtId="10" fontId="67" fillId="0" borderId="0" xfId="220" applyNumberFormat="1" applyFont="1"/>
    <xf numFmtId="43" fontId="67" fillId="0" borderId="0" xfId="40" applyFont="1"/>
    <xf numFmtId="167" fontId="67" fillId="0" borderId="0" xfId="0" applyNumberFormat="1" applyFont="1"/>
    <xf numFmtId="0" fontId="67" fillId="29" borderId="0" xfId="0" applyFont="1" applyFill="1" applyAlignment="1">
      <alignment horizontal="center"/>
    </xf>
    <xf numFmtId="0" fontId="68" fillId="33" borderId="0" xfId="0" applyFont="1" applyFill="1" applyAlignment="1">
      <alignment horizontal="right"/>
    </xf>
    <xf numFmtId="0" fontId="67" fillId="0" borderId="0" xfId="0" applyFont="1" applyAlignment="1">
      <alignment horizontal="center"/>
    </xf>
    <xf numFmtId="0" fontId="14" fillId="24" borderId="0" xfId="0" applyFont="1" applyFill="1" applyAlignment="1">
      <alignment horizontal="center"/>
    </xf>
    <xf numFmtId="0" fontId="68" fillId="33" borderId="0" xfId="0" applyFont="1" applyFill="1" applyAlignment="1">
      <alignment horizontal="left" indent="2"/>
    </xf>
    <xf numFmtId="0" fontId="67" fillId="24" borderId="0" xfId="0" applyFont="1" applyFill="1" applyAlignment="1">
      <alignment horizontal="center"/>
    </xf>
    <xf numFmtId="0" fontId="15" fillId="39" borderId="0" xfId="0" applyFont="1" applyFill="1"/>
    <xf numFmtId="171" fontId="101" fillId="39" borderId="0" xfId="0" applyNumberFormat="1" applyFont="1" applyFill="1"/>
    <xf numFmtId="171" fontId="88" fillId="0" borderId="0" xfId="0" applyNumberFormat="1" applyFont="1"/>
    <xf numFmtId="9" fontId="77" fillId="0" borderId="0" xfId="0" applyNumberFormat="1" applyFont="1"/>
    <xf numFmtId="9" fontId="78" fillId="0" borderId="0" xfId="0" applyNumberFormat="1" applyFont="1"/>
    <xf numFmtId="9" fontId="67" fillId="0" borderId="0" xfId="0" applyNumberFormat="1" applyFont="1"/>
    <xf numFmtId="0" fontId="69" fillId="37" borderId="0" xfId="0" applyFont="1" applyFill="1"/>
    <xf numFmtId="0" fontId="67" fillId="37" borderId="0" xfId="0" applyFont="1" applyFill="1"/>
    <xf numFmtId="9" fontId="67" fillId="0" borderId="0" xfId="220" applyFont="1" applyFill="1"/>
    <xf numFmtId="9" fontId="89" fillId="0" borderId="0" xfId="220" applyFont="1" applyFill="1"/>
    <xf numFmtId="0" fontId="89" fillId="37" borderId="0" xfId="0" applyFont="1" applyFill="1"/>
    <xf numFmtId="3" fontId="67" fillId="0" borderId="0" xfId="0" applyNumberFormat="1" applyFont="1"/>
    <xf numFmtId="0" fontId="67" fillId="39" borderId="0" xfId="0" applyFont="1" applyFill="1"/>
    <xf numFmtId="9" fontId="67" fillId="39" borderId="0" xfId="220" applyFont="1" applyFill="1"/>
    <xf numFmtId="170" fontId="67" fillId="39" borderId="0" xfId="0" applyNumberFormat="1" applyFont="1" applyFill="1"/>
    <xf numFmtId="10" fontId="89" fillId="0" borderId="0" xfId="0" applyNumberFormat="1" applyFont="1"/>
    <xf numFmtId="10" fontId="67" fillId="0" borderId="0" xfId="0" applyNumberFormat="1" applyFont="1"/>
    <xf numFmtId="0" fontId="101" fillId="35" borderId="0" xfId="0" applyFont="1" applyFill="1"/>
    <xf numFmtId="171" fontId="101" fillId="35" borderId="0" xfId="0" applyNumberFormat="1" applyFont="1" applyFill="1"/>
    <xf numFmtId="0" fontId="101" fillId="32" borderId="0" xfId="0" applyFont="1" applyFill="1"/>
    <xf numFmtId="171" fontId="101" fillId="32" borderId="0" xfId="0" applyNumberFormat="1" applyFont="1" applyFill="1"/>
    <xf numFmtId="0" fontId="85" fillId="0" borderId="0" xfId="0" applyFont="1"/>
    <xf numFmtId="0" fontId="68" fillId="34" borderId="0" xfId="0" applyFont="1" applyFill="1"/>
    <xf numFmtId="189" fontId="92" fillId="0" borderId="0" xfId="0" applyNumberFormat="1" applyFont="1" applyAlignment="1">
      <alignment horizontal="center"/>
    </xf>
    <xf numFmtId="3" fontId="0" fillId="0" borderId="0" xfId="0" applyNumberFormat="1"/>
    <xf numFmtId="0" fontId="90" fillId="0" borderId="0" xfId="0" applyFont="1" applyAlignment="1">
      <alignment horizontal="center"/>
    </xf>
    <xf numFmtId="167" fontId="89" fillId="0" borderId="0" xfId="220" applyNumberFormat="1" applyFont="1" applyFill="1" applyBorder="1" applyAlignment="1">
      <alignment horizontal="center"/>
    </xf>
    <xf numFmtId="10" fontId="67" fillId="0" borderId="0" xfId="220" applyNumberFormat="1" applyFont="1" applyFill="1" applyBorder="1"/>
    <xf numFmtId="10" fontId="67" fillId="29" borderId="0" xfId="220" applyNumberFormat="1" applyFont="1" applyFill="1" applyBorder="1"/>
    <xf numFmtId="171" fontId="102" fillId="0" borderId="0" xfId="0" applyNumberFormat="1" applyFont="1"/>
    <xf numFmtId="0" fontId="102" fillId="31" borderId="19" xfId="0" applyFont="1" applyFill="1" applyBorder="1"/>
    <xf numFmtId="171" fontId="103" fillId="31" borderId="19" xfId="0" applyNumberFormat="1" applyFont="1" applyFill="1" applyBorder="1"/>
    <xf numFmtId="171" fontId="102" fillId="31" borderId="19" xfId="0" applyNumberFormat="1" applyFont="1" applyFill="1" applyBorder="1"/>
    <xf numFmtId="171" fontId="90" fillId="31" borderId="28" xfId="210" applyNumberFormat="1" applyFont="1" applyFill="1" applyBorder="1"/>
    <xf numFmtId="0" fontId="68" fillId="34" borderId="111" xfId="210" applyFont="1" applyFill="1" applyBorder="1"/>
    <xf numFmtId="0" fontId="68" fillId="34" borderId="32" xfId="210" applyFont="1" applyFill="1" applyBorder="1" applyAlignment="1">
      <alignment horizontal="center"/>
    </xf>
    <xf numFmtId="0" fontId="88" fillId="24" borderId="119" xfId="210" applyFont="1" applyFill="1" applyBorder="1"/>
    <xf numFmtId="0" fontId="88" fillId="24" borderId="42" xfId="210" applyFont="1" applyFill="1" applyBorder="1" applyAlignment="1">
      <alignment horizontal="center"/>
    </xf>
    <xf numFmtId="179" fontId="88" fillId="0" borderId="28" xfId="40" applyNumberFormat="1" applyFont="1" applyBorder="1"/>
    <xf numFmtId="184" fontId="88" fillId="24" borderId="33" xfId="216" applyNumberFormat="1" applyFont="1" applyFill="1" applyBorder="1"/>
    <xf numFmtId="184" fontId="88" fillId="24" borderId="42" xfId="216" applyNumberFormat="1" applyFont="1" applyFill="1" applyBorder="1"/>
    <xf numFmtId="10" fontId="88" fillId="0" borderId="0" xfId="173" applyNumberFormat="1" applyFont="1"/>
    <xf numFmtId="170" fontId="88" fillId="0" borderId="0" xfId="40" applyNumberFormat="1" applyFont="1"/>
    <xf numFmtId="164" fontId="88" fillId="0" borderId="0" xfId="173" applyNumberFormat="1" applyFont="1"/>
    <xf numFmtId="0" fontId="8" fillId="0" borderId="0" xfId="221"/>
    <xf numFmtId="0" fontId="15" fillId="24" borderId="79" xfId="222" applyFont="1" applyFill="1" applyBorder="1" applyAlignment="1">
      <alignment horizontal="center" vertical="center" wrapText="1"/>
    </xf>
    <xf numFmtId="0" fontId="104" fillId="24" borderId="90" xfId="221" applyFont="1" applyFill="1" applyBorder="1" applyAlignment="1">
      <alignment horizontal="center" vertical="center"/>
    </xf>
    <xf numFmtId="0" fontId="104" fillId="24" borderId="80" xfId="221" applyFont="1" applyFill="1" applyBorder="1" applyAlignment="1">
      <alignment horizontal="center" vertical="center"/>
    </xf>
    <xf numFmtId="0" fontId="15" fillId="24" borderId="90" xfId="221" applyFont="1" applyFill="1" applyBorder="1" applyAlignment="1">
      <alignment horizontal="center" vertical="center" wrapText="1"/>
    </xf>
    <xf numFmtId="0" fontId="104" fillId="24" borderId="91" xfId="221" applyFont="1" applyFill="1" applyBorder="1" applyAlignment="1">
      <alignment horizontal="center" vertical="center" wrapText="1"/>
    </xf>
    <xf numFmtId="0" fontId="14" fillId="24" borderId="43" xfId="222" applyFont="1" applyFill="1" applyBorder="1" applyAlignment="1">
      <alignment horizontal="center"/>
    </xf>
    <xf numFmtId="0" fontId="14" fillId="24" borderId="92" xfId="221" applyFont="1" applyFill="1" applyBorder="1"/>
    <xf numFmtId="170" fontId="14" fillId="24" borderId="60" xfId="223" applyNumberFormat="1" applyFont="1" applyFill="1" applyBorder="1"/>
    <xf numFmtId="3" fontId="8" fillId="0" borderId="35" xfId="221" applyNumberFormat="1" applyBorder="1"/>
    <xf numFmtId="170" fontId="14" fillId="24" borderId="95" xfId="223" applyNumberFormat="1" applyFont="1" applyFill="1" applyBorder="1"/>
    <xf numFmtId="0" fontId="14" fillId="24" borderId="87" xfId="222" applyFont="1" applyFill="1" applyBorder="1" applyAlignment="1">
      <alignment horizontal="center"/>
    </xf>
    <xf numFmtId="0" fontId="14" fillId="24" borderId="36" xfId="221" applyFont="1" applyFill="1" applyBorder="1"/>
    <xf numFmtId="3" fontId="8" fillId="0" borderId="48" xfId="221" applyNumberFormat="1" applyBorder="1"/>
    <xf numFmtId="0" fontId="14" fillId="24" borderId="66" xfId="221" applyFont="1" applyFill="1" applyBorder="1"/>
    <xf numFmtId="170" fontId="14" fillId="24" borderId="48" xfId="223" applyNumberFormat="1" applyFont="1" applyFill="1" applyBorder="1"/>
    <xf numFmtId="183" fontId="8" fillId="0" borderId="0" xfId="221" applyNumberFormat="1"/>
    <xf numFmtId="170" fontId="14" fillId="24" borderId="61" xfId="223" applyNumberFormat="1" applyFont="1" applyFill="1" applyBorder="1"/>
    <xf numFmtId="190" fontId="14" fillId="24" borderId="36" xfId="224" applyNumberFormat="1" applyFont="1" applyFill="1" applyBorder="1"/>
    <xf numFmtId="0" fontId="14" fillId="24" borderId="124" xfId="222" applyFont="1" applyFill="1" applyBorder="1" applyAlignment="1">
      <alignment horizontal="center"/>
    </xf>
    <xf numFmtId="0" fontId="14" fillId="24" borderId="71" xfId="221" applyFont="1" applyFill="1" applyBorder="1"/>
    <xf numFmtId="170" fontId="14" fillId="24" borderId="85" xfId="223" applyNumberFormat="1" applyFont="1" applyFill="1" applyBorder="1"/>
    <xf numFmtId="3" fontId="8" fillId="0" borderId="125" xfId="221" applyNumberFormat="1" applyBorder="1"/>
    <xf numFmtId="170" fontId="14" fillId="24" borderId="125" xfId="223" applyNumberFormat="1" applyFont="1" applyFill="1" applyBorder="1"/>
    <xf numFmtId="0" fontId="14" fillId="24" borderId="87" xfId="222" applyFill="1" applyBorder="1" applyAlignment="1">
      <alignment horizontal="center"/>
    </xf>
    <xf numFmtId="0" fontId="106" fillId="24" borderId="66" xfId="221" applyFont="1" applyFill="1" applyBorder="1"/>
    <xf numFmtId="0" fontId="106" fillId="24" borderId="61" xfId="223" applyNumberFormat="1" applyFont="1" applyFill="1" applyBorder="1" applyAlignment="1" applyProtection="1">
      <alignment horizontal="center" vertical="center"/>
    </xf>
    <xf numFmtId="43" fontId="14" fillId="24" borderId="66" xfId="223" applyNumberFormat="1" applyFont="1" applyFill="1" applyBorder="1"/>
    <xf numFmtId="0" fontId="14" fillId="24" borderId="109" xfId="222" applyFill="1" applyBorder="1" applyAlignment="1">
      <alignment horizontal="center"/>
    </xf>
    <xf numFmtId="0" fontId="104" fillId="24" borderId="82" xfId="221" applyFont="1" applyFill="1" applyBorder="1" applyAlignment="1">
      <alignment horizontal="center"/>
    </xf>
    <xf numFmtId="0" fontId="106" fillId="24" borderId="83" xfId="223" applyNumberFormat="1" applyFont="1" applyFill="1" applyBorder="1" applyAlignment="1" applyProtection="1">
      <alignment horizontal="center" vertical="center"/>
    </xf>
    <xf numFmtId="43" fontId="14" fillId="24" borderId="82" xfId="223" applyNumberFormat="1" applyFont="1" applyFill="1" applyBorder="1"/>
    <xf numFmtId="170" fontId="15" fillId="24" borderId="112" xfId="223" applyNumberFormat="1" applyFont="1" applyFill="1" applyBorder="1"/>
    <xf numFmtId="0" fontId="14" fillId="24" borderId="51" xfId="222" applyFill="1" applyBorder="1" applyAlignment="1">
      <alignment horizontal="center"/>
    </xf>
    <xf numFmtId="0" fontId="104" fillId="24" borderId="93" xfId="221" applyFont="1" applyFill="1" applyBorder="1" applyAlignment="1">
      <alignment horizontal="center" vertical="center" wrapText="1"/>
    </xf>
    <xf numFmtId="0" fontId="106" fillId="24" borderId="59" xfId="223" applyNumberFormat="1" applyFont="1" applyFill="1" applyBorder="1" applyAlignment="1" applyProtection="1">
      <alignment horizontal="center" vertical="center"/>
    </xf>
    <xf numFmtId="43" fontId="14" fillId="24" borderId="93" xfId="223" applyNumberFormat="1" applyFont="1" applyFill="1" applyBorder="1"/>
    <xf numFmtId="170" fontId="15" fillId="24" borderId="94" xfId="223" applyNumberFormat="1" applyFont="1" applyFill="1" applyBorder="1"/>
    <xf numFmtId="0" fontId="14" fillId="24" borderId="43" xfId="222" applyFill="1" applyBorder="1" applyAlignment="1">
      <alignment horizontal="center"/>
    </xf>
    <xf numFmtId="0" fontId="106" fillId="24" borderId="92" xfId="221" applyFont="1" applyFill="1" applyBorder="1"/>
    <xf numFmtId="170" fontId="106" fillId="24" borderId="58" xfId="223" applyNumberFormat="1" applyFont="1" applyFill="1" applyBorder="1" applyAlignment="1" applyProtection="1">
      <alignment horizontal="center"/>
    </xf>
    <xf numFmtId="43" fontId="14" fillId="24" borderId="92" xfId="223" applyNumberFormat="1" applyFont="1" applyFill="1" applyBorder="1" applyAlignment="1">
      <alignment horizontal="center" vertical="center" wrapText="1"/>
    </xf>
    <xf numFmtId="170" fontId="14" fillId="24" borderId="44" xfId="223" applyNumberFormat="1" applyFont="1" applyFill="1" applyBorder="1"/>
    <xf numFmtId="0" fontId="14" fillId="24" borderId="47" xfId="222" applyFill="1" applyBorder="1" applyAlignment="1">
      <alignment horizontal="center"/>
    </xf>
    <xf numFmtId="0" fontId="106" fillId="24" borderId="36" xfId="221" applyFont="1" applyFill="1" applyBorder="1"/>
    <xf numFmtId="0" fontId="106" fillId="24" borderId="60" xfId="221" applyFont="1" applyFill="1" applyBorder="1" applyAlignment="1">
      <alignment horizontal="center"/>
    </xf>
    <xf numFmtId="2" fontId="106" fillId="24" borderId="36" xfId="221" applyNumberFormat="1" applyFont="1" applyFill="1" applyBorder="1" applyAlignment="1">
      <alignment horizontal="right"/>
    </xf>
    <xf numFmtId="170" fontId="14" fillId="24" borderId="48" xfId="223" applyNumberFormat="1" applyFont="1" applyFill="1" applyBorder="1" applyAlignment="1">
      <alignment horizontal="center" vertical="center"/>
    </xf>
    <xf numFmtId="0" fontId="104" fillId="24" borderId="93" xfId="221" applyFont="1" applyFill="1" applyBorder="1" applyAlignment="1">
      <alignment horizontal="center"/>
    </xf>
    <xf numFmtId="0" fontId="104" fillId="24" borderId="59" xfId="221" applyFont="1" applyFill="1" applyBorder="1" applyAlignment="1">
      <alignment horizontal="center"/>
    </xf>
    <xf numFmtId="0" fontId="14" fillId="24" borderId="93" xfId="221" applyFont="1" applyFill="1" applyBorder="1"/>
    <xf numFmtId="0" fontId="106" fillId="24" borderId="58" xfId="221" applyFont="1" applyFill="1" applyBorder="1" applyAlignment="1">
      <alignment horizontal="center"/>
    </xf>
    <xf numFmtId="0" fontId="14" fillId="24" borderId="92" xfId="221" applyFont="1" applyFill="1" applyBorder="1" applyAlignment="1">
      <alignment horizontal="center" vertical="center" wrapText="1"/>
    </xf>
    <xf numFmtId="2" fontId="14" fillId="24" borderId="66" xfId="221" applyNumberFormat="1" applyFont="1" applyFill="1" applyBorder="1"/>
    <xf numFmtId="0" fontId="106" fillId="24" borderId="60" xfId="221" applyFont="1" applyFill="1" applyBorder="1"/>
    <xf numFmtId="164" fontId="0" fillId="0" borderId="0" xfId="223" applyFont="1"/>
    <xf numFmtId="0" fontId="106" fillId="24" borderId="58" xfId="221" applyFont="1" applyFill="1" applyBorder="1"/>
    <xf numFmtId="170" fontId="107" fillId="24" borderId="44" xfId="223" applyNumberFormat="1" applyFont="1" applyFill="1" applyBorder="1"/>
    <xf numFmtId="2" fontId="14" fillId="24" borderId="36" xfId="225" applyNumberFormat="1" applyFont="1" applyFill="1" applyBorder="1"/>
    <xf numFmtId="0" fontId="8" fillId="24" borderId="28" xfId="221" applyFill="1" applyBorder="1"/>
    <xf numFmtId="0" fontId="14" fillId="24" borderId="13" xfId="222" applyFont="1" applyFill="1" applyBorder="1" applyAlignment="1">
      <alignment horizontal="center"/>
    </xf>
    <xf numFmtId="0" fontId="8" fillId="24" borderId="33" xfId="221" applyFill="1" applyBorder="1"/>
    <xf numFmtId="0" fontId="106" fillId="24" borderId="59" xfId="221" applyFont="1" applyFill="1" applyBorder="1" applyAlignment="1">
      <alignment horizontal="center"/>
    </xf>
    <xf numFmtId="188" fontId="14" fillId="24" borderId="93" xfId="225" applyNumberFormat="1" applyFont="1" applyFill="1" applyBorder="1"/>
    <xf numFmtId="170" fontId="14" fillId="24" borderId="94" xfId="223" applyNumberFormat="1" applyFont="1" applyFill="1" applyBorder="1"/>
    <xf numFmtId="0" fontId="108" fillId="24" borderId="93" xfId="221" applyFont="1" applyFill="1" applyBorder="1" applyAlignment="1">
      <alignment horizontal="center"/>
    </xf>
    <xf numFmtId="170" fontId="24" fillId="24" borderId="94" xfId="223" applyNumberFormat="1" applyFont="1" applyFill="1" applyBorder="1"/>
    <xf numFmtId="0" fontId="14" fillId="24" borderId="0" xfId="222" applyFill="1"/>
    <xf numFmtId="0" fontId="8" fillId="24" borderId="0" xfId="221" applyFill="1"/>
    <xf numFmtId="0" fontId="14" fillId="24" borderId="0" xfId="221" applyFont="1" applyFill="1"/>
    <xf numFmtId="170" fontId="8" fillId="0" borderId="0" xfId="221" applyNumberFormat="1"/>
    <xf numFmtId="0" fontId="14" fillId="0" borderId="0" xfId="222"/>
    <xf numFmtId="0" fontId="14" fillId="0" borderId="0" xfId="221" applyFont="1"/>
    <xf numFmtId="10" fontId="0" fillId="0" borderId="0" xfId="225" applyNumberFormat="1" applyFont="1"/>
    <xf numFmtId="164" fontId="8" fillId="0" borderId="0" xfId="221" applyNumberFormat="1"/>
    <xf numFmtId="10" fontId="0" fillId="0" borderId="0" xfId="223" applyNumberFormat="1" applyFont="1"/>
    <xf numFmtId="10" fontId="8" fillId="0" borderId="0" xfId="221" applyNumberFormat="1"/>
    <xf numFmtId="0" fontId="11" fillId="0" borderId="0" xfId="212" applyAlignment="1">
      <alignment horizontal="right"/>
    </xf>
    <xf numFmtId="0" fontId="109" fillId="0" borderId="0" xfId="212" applyFont="1"/>
    <xf numFmtId="3" fontId="102" fillId="31" borderId="0" xfId="212" applyNumberFormat="1" applyFont="1" applyFill="1"/>
    <xf numFmtId="43" fontId="60" fillId="27" borderId="90" xfId="40" applyFont="1" applyFill="1" applyBorder="1" applyAlignment="1">
      <alignment vertical="center" wrapText="1"/>
    </xf>
    <xf numFmtId="43" fontId="110" fillId="0" borderId="0" xfId="40" applyFont="1" applyFill="1" applyBorder="1" applyAlignment="1">
      <alignment wrapText="1"/>
    </xf>
    <xf numFmtId="43" fontId="60" fillId="27" borderId="69" xfId="40" applyFont="1" applyFill="1" applyBorder="1" applyAlignment="1">
      <alignment horizontal="center" vertical="center" wrapText="1"/>
    </xf>
    <xf numFmtId="43" fontId="48" fillId="0" borderId="102" xfId="40" applyFont="1" applyFill="1" applyBorder="1" applyAlignment="1">
      <alignment vertical="center" wrapText="1"/>
    </xf>
    <xf numFmtId="43" fontId="48" fillId="0" borderId="84" xfId="40" applyFont="1" applyFill="1" applyBorder="1" applyAlignment="1">
      <alignment vertical="center" wrapText="1"/>
    </xf>
    <xf numFmtId="43" fontId="48" fillId="0" borderId="86" xfId="40" applyFont="1" applyFill="1" applyBorder="1" applyAlignment="1">
      <alignment vertical="center" wrapText="1"/>
    </xf>
    <xf numFmtId="43" fontId="48" fillId="0" borderId="0" xfId="40" applyFont="1" applyBorder="1"/>
    <xf numFmtId="43" fontId="48" fillId="0" borderId="0" xfId="40" applyFont="1" applyFill="1" applyBorder="1"/>
    <xf numFmtId="43" fontId="19" fillId="0" borderId="98" xfId="40" applyFont="1" applyFill="1" applyBorder="1"/>
    <xf numFmtId="43" fontId="19" fillId="0" borderId="43" xfId="40" applyFont="1" applyFill="1" applyBorder="1"/>
    <xf numFmtId="43" fontId="19" fillId="0" borderId="87" xfId="40" applyFont="1" applyFill="1" applyBorder="1"/>
    <xf numFmtId="43" fontId="19" fillId="0" borderId="47" xfId="40" applyFont="1" applyFill="1" applyBorder="1"/>
    <xf numFmtId="43" fontId="19" fillId="0" borderId="51" xfId="40" applyFont="1" applyFill="1" applyBorder="1"/>
    <xf numFmtId="43" fontId="65" fillId="0" borderId="0" xfId="40" applyFont="1" applyFill="1"/>
    <xf numFmtId="171" fontId="88" fillId="0" borderId="28" xfId="216" applyNumberFormat="1" applyFont="1" applyFill="1" applyBorder="1"/>
    <xf numFmtId="0" fontId="48" fillId="0" borderId="0" xfId="0" applyFont="1"/>
    <xf numFmtId="0" fontId="59" fillId="0" borderId="0" xfId="0" applyFont="1"/>
    <xf numFmtId="43" fontId="48" fillId="0" borderId="0" xfId="0" applyNumberFormat="1" applyFont="1"/>
    <xf numFmtId="164" fontId="48" fillId="0" borderId="0" xfId="0" applyNumberFormat="1" applyFont="1"/>
    <xf numFmtId="43" fontId="48" fillId="0" borderId="0" xfId="40" applyFont="1" applyFill="1" applyAlignment="1">
      <alignment vertical="center"/>
    </xf>
    <xf numFmtId="0" fontId="48" fillId="0" borderId="0" xfId="0" applyFont="1" applyAlignment="1">
      <alignment vertical="center" wrapText="1"/>
    </xf>
    <xf numFmtId="0" fontId="16" fillId="0" borderId="0" xfId="0" applyFont="1"/>
    <xf numFmtId="0" fontId="110" fillId="0" borderId="0" xfId="0" applyFont="1"/>
    <xf numFmtId="170" fontId="59" fillId="0" borderId="0" xfId="40" applyNumberFormat="1" applyFont="1" applyFill="1"/>
    <xf numFmtId="170" fontId="110" fillId="0" borderId="0" xfId="40" applyNumberFormat="1" applyFont="1" applyFill="1"/>
    <xf numFmtId="167" fontId="110" fillId="0" borderId="0" xfId="57" applyNumberFormat="1" applyFont="1" applyFill="1"/>
    <xf numFmtId="43" fontId="111" fillId="0" borderId="0" xfId="40" applyFont="1" applyBorder="1"/>
    <xf numFmtId="43" fontId="110" fillId="0" borderId="0" xfId="40" applyFont="1" applyFill="1"/>
    <xf numFmtId="169" fontId="60" fillId="0" borderId="0" xfId="0" applyNumberFormat="1" applyFont="1"/>
    <xf numFmtId="43" fontId="110" fillId="0" borderId="0" xfId="0" applyNumberFormat="1" applyFont="1"/>
    <xf numFmtId="3" fontId="112" fillId="0" borderId="0" xfId="212" applyNumberFormat="1" applyFont="1" applyAlignment="1">
      <alignment horizontal="center"/>
    </xf>
    <xf numFmtId="0" fontId="14" fillId="0" borderId="11" xfId="0" applyFont="1" applyBorder="1" applyAlignment="1">
      <alignment vertical="center" wrapText="1"/>
    </xf>
    <xf numFmtId="170" fontId="96" fillId="0" borderId="0" xfId="221" applyNumberFormat="1" applyFont="1"/>
    <xf numFmtId="43" fontId="14" fillId="0" borderId="0" xfId="40" applyFont="1"/>
    <xf numFmtId="170" fontId="8" fillId="31" borderId="0" xfId="221" applyNumberFormat="1" applyFill="1"/>
    <xf numFmtId="0" fontId="67" fillId="0" borderId="0" xfId="226" applyFont="1"/>
    <xf numFmtId="0" fontId="68" fillId="33" borderId="0" xfId="226" applyFont="1" applyFill="1"/>
    <xf numFmtId="0" fontId="69" fillId="33" borderId="0" xfId="226" applyFont="1" applyFill="1"/>
    <xf numFmtId="0" fontId="7" fillId="0" borderId="0" xfId="226"/>
    <xf numFmtId="0" fontId="70" fillId="0" borderId="0" xfId="226" applyFont="1" applyAlignment="1">
      <alignment horizontal="center"/>
    </xf>
    <xf numFmtId="3" fontId="73" fillId="0" borderId="0" xfId="226" applyNumberFormat="1" applyFont="1"/>
    <xf numFmtId="0" fontId="78" fillId="0" borderId="0" xfId="226" applyFont="1"/>
    <xf numFmtId="0" fontId="7" fillId="0" borderId="0" xfId="226" applyAlignment="1">
      <alignment horizontal="center"/>
    </xf>
    <xf numFmtId="2" fontId="7" fillId="0" borderId="0" xfId="226" applyNumberFormat="1" applyAlignment="1">
      <alignment horizontal="center"/>
    </xf>
    <xf numFmtId="171" fontId="0" fillId="0" borderId="0" xfId="228" applyNumberFormat="1" applyFont="1" applyBorder="1"/>
    <xf numFmtId="3" fontId="7" fillId="0" borderId="0" xfId="226" applyNumberFormat="1"/>
    <xf numFmtId="167" fontId="75" fillId="0" borderId="0" xfId="227" applyNumberFormat="1" applyFont="1" applyFill="1"/>
    <xf numFmtId="0" fontId="14" fillId="0" borderId="0" xfId="226" applyFont="1" applyAlignment="1">
      <alignment horizontal="center"/>
    </xf>
    <xf numFmtId="171" fontId="7" fillId="0" borderId="0" xfId="228" applyNumberFormat="1" applyFont="1" applyBorder="1" applyAlignment="1">
      <alignment horizontal="center"/>
    </xf>
    <xf numFmtId="171" fontId="0" fillId="0" borderId="0" xfId="228" applyNumberFormat="1" applyFont="1" applyBorder="1" applyAlignment="1">
      <alignment horizontal="left"/>
    </xf>
    <xf numFmtId="171" fontId="7" fillId="0" borderId="0" xfId="226" applyNumberFormat="1"/>
    <xf numFmtId="0" fontId="75" fillId="0" borderId="0" xfId="226" applyFont="1"/>
    <xf numFmtId="171" fontId="75" fillId="0" borderId="0" xfId="226" applyNumberFormat="1" applyFont="1"/>
    <xf numFmtId="3" fontId="75" fillId="0" borderId="0" xfId="226" applyNumberFormat="1" applyFont="1"/>
    <xf numFmtId="9" fontId="0" fillId="0" borderId="0" xfId="227" applyFont="1"/>
    <xf numFmtId="0" fontId="15" fillId="0" borderId="111" xfId="226" applyFont="1" applyBorder="1" applyAlignment="1">
      <alignment horizontal="center"/>
    </xf>
    <xf numFmtId="0" fontId="15" fillId="0" borderId="32" xfId="226" applyFont="1" applyBorder="1" applyAlignment="1">
      <alignment horizontal="center"/>
    </xf>
    <xf numFmtId="0" fontId="15" fillId="0" borderId="73" xfId="226" applyFont="1" applyBorder="1" applyAlignment="1">
      <alignment horizontal="center"/>
    </xf>
    <xf numFmtId="0" fontId="15" fillId="0" borderId="25" xfId="226" applyFont="1" applyBorder="1"/>
    <xf numFmtId="171" fontId="0" fillId="0" borderId="16" xfId="228" applyNumberFormat="1" applyFont="1" applyBorder="1"/>
    <xf numFmtId="171" fontId="0" fillId="0" borderId="17" xfId="228" applyNumberFormat="1" applyFont="1" applyBorder="1"/>
    <xf numFmtId="171" fontId="0" fillId="0" borderId="117" xfId="228" applyNumberFormat="1" applyFont="1" applyBorder="1"/>
    <xf numFmtId="0" fontId="15" fillId="0" borderId="26" xfId="226" applyFont="1" applyBorder="1"/>
    <xf numFmtId="171" fontId="0" fillId="0" borderId="14" xfId="228" applyNumberFormat="1" applyFont="1" applyBorder="1"/>
    <xf numFmtId="171" fontId="0" fillId="0" borderId="19" xfId="228" applyNumberFormat="1" applyFont="1" applyBorder="1"/>
    <xf numFmtId="171" fontId="0" fillId="0" borderId="27" xfId="228" applyNumberFormat="1" applyFont="1" applyBorder="1"/>
    <xf numFmtId="0" fontId="15" fillId="0" borderId="118" xfId="226" applyFont="1" applyBorder="1"/>
    <xf numFmtId="171" fontId="14" fillId="0" borderId="119" xfId="228" applyNumberFormat="1" applyFont="1" applyBorder="1" applyAlignment="1">
      <alignment horizontal="right"/>
    </xf>
    <xf numFmtId="171" fontId="0" fillId="0" borderId="42" xfId="228" applyNumberFormat="1" applyFont="1" applyBorder="1"/>
    <xf numFmtId="171" fontId="0" fillId="0" borderId="72" xfId="228" applyNumberFormat="1" applyFont="1" applyBorder="1"/>
    <xf numFmtId="0" fontId="15" fillId="0" borderId="74" xfId="226" applyFont="1" applyBorder="1"/>
    <xf numFmtId="171" fontId="0" fillId="0" borderId="110" xfId="228" applyNumberFormat="1" applyFont="1" applyBorder="1"/>
    <xf numFmtId="171" fontId="0" fillId="0" borderId="90" xfId="228" applyNumberFormat="1" applyFont="1" applyBorder="1"/>
    <xf numFmtId="171" fontId="0" fillId="0" borderId="91" xfId="228" applyNumberFormat="1" applyFont="1" applyBorder="1"/>
    <xf numFmtId="43" fontId="7" fillId="0" borderId="0" xfId="40" applyFont="1"/>
    <xf numFmtId="164" fontId="7" fillId="0" borderId="0" xfId="226" applyNumberFormat="1"/>
    <xf numFmtId="43" fontId="113" fillId="0" borderId="21" xfId="0" applyNumberFormat="1" applyFont="1" applyBorder="1"/>
    <xf numFmtId="43" fontId="19" fillId="0" borderId="21" xfId="0" applyNumberFormat="1" applyFont="1" applyBorder="1"/>
    <xf numFmtId="0" fontId="88" fillId="0" borderId="0" xfId="226" applyFont="1"/>
    <xf numFmtId="0" fontId="68" fillId="0" borderId="0" xfId="226" applyFont="1" applyAlignment="1">
      <alignment horizontal="left" indent="1"/>
    </xf>
    <xf numFmtId="0" fontId="68" fillId="33" borderId="0" xfId="226" applyFont="1" applyFill="1" applyAlignment="1">
      <alignment horizontal="left" indent="1"/>
    </xf>
    <xf numFmtId="167" fontId="92" fillId="0" borderId="0" xfId="227" applyNumberFormat="1" applyFont="1"/>
    <xf numFmtId="41" fontId="67" fillId="40" borderId="0" xfId="226" applyNumberFormat="1" applyFont="1" applyFill="1"/>
    <xf numFmtId="171" fontId="67" fillId="0" borderId="0" xfId="226" applyNumberFormat="1" applyFont="1"/>
    <xf numFmtId="164" fontId="67" fillId="0" borderId="0" xfId="226" applyNumberFormat="1" applyFont="1"/>
    <xf numFmtId="171" fontId="92" fillId="0" borderId="0" xfId="226" applyNumberFormat="1" applyFont="1"/>
    <xf numFmtId="167" fontId="67" fillId="0" borderId="0" xfId="227" applyNumberFormat="1" applyFont="1"/>
    <xf numFmtId="0" fontId="67" fillId="24" borderId="0" xfId="226" applyFont="1" applyFill="1"/>
    <xf numFmtId="171" fontId="93" fillId="0" borderId="0" xfId="226" applyNumberFormat="1" applyFont="1"/>
    <xf numFmtId="9" fontId="67" fillId="0" borderId="0" xfId="227" applyFont="1"/>
    <xf numFmtId="0" fontId="67" fillId="29" borderId="0" xfId="226" applyFont="1" applyFill="1"/>
    <xf numFmtId="167" fontId="89" fillId="0" borderId="0" xfId="227" applyNumberFormat="1" applyFont="1"/>
    <xf numFmtId="167" fontId="88" fillId="0" borderId="0" xfId="227" applyNumberFormat="1" applyFont="1"/>
    <xf numFmtId="0" fontId="99" fillId="29" borderId="0" xfId="226" applyFont="1" applyFill="1" applyAlignment="1">
      <alignment horizontal="left" indent="1"/>
    </xf>
    <xf numFmtId="0" fontId="67" fillId="0" borderId="0" xfId="226" applyFont="1" applyAlignment="1">
      <alignment horizontal="left"/>
    </xf>
    <xf numFmtId="167" fontId="88" fillId="29" borderId="0" xfId="226" applyNumberFormat="1" applyFont="1" applyFill="1" applyAlignment="1">
      <alignment horizontal="center"/>
    </xf>
    <xf numFmtId="0" fontId="88" fillId="29" borderId="0" xfId="226" applyFont="1" applyFill="1" applyAlignment="1">
      <alignment horizontal="left"/>
    </xf>
    <xf numFmtId="0" fontId="77" fillId="29" borderId="0" xfId="226" applyFont="1" applyFill="1" applyAlignment="1">
      <alignment horizontal="left" indent="2"/>
    </xf>
    <xf numFmtId="9" fontId="100" fillId="29" borderId="0" xfId="226" applyNumberFormat="1" applyFont="1" applyFill="1" applyAlignment="1">
      <alignment horizontal="center"/>
    </xf>
    <xf numFmtId="9" fontId="78" fillId="0" borderId="0" xfId="226" applyNumberFormat="1" applyFont="1" applyAlignment="1">
      <alignment horizontal="center"/>
    </xf>
    <xf numFmtId="0" fontId="68" fillId="37" borderId="0" xfId="226" applyFont="1" applyFill="1" applyAlignment="1">
      <alignment horizontal="left" indent="1"/>
    </xf>
    <xf numFmtId="0" fontId="68" fillId="37" borderId="0" xfId="226" applyFont="1" applyFill="1"/>
    <xf numFmtId="0" fontId="67" fillId="0" borderId="0" xfId="226" applyFont="1" applyAlignment="1">
      <alignment horizontal="left" indent="1"/>
    </xf>
    <xf numFmtId="167" fontId="88" fillId="0" borderId="0" xfId="226" applyNumberFormat="1" applyFont="1"/>
    <xf numFmtId="0" fontId="68" fillId="37" borderId="0" xfId="226" applyFont="1" applyFill="1" applyAlignment="1">
      <alignment horizontal="left" indent="2"/>
    </xf>
    <xf numFmtId="0" fontId="78" fillId="0" borderId="0" xfId="226" applyFont="1" applyAlignment="1">
      <alignment horizontal="left" indent="3"/>
    </xf>
    <xf numFmtId="171" fontId="78" fillId="0" borderId="0" xfId="226" applyNumberFormat="1" applyFont="1"/>
    <xf numFmtId="171" fontId="89" fillId="0" borderId="0" xfId="226" applyNumberFormat="1" applyFont="1"/>
    <xf numFmtId="0" fontId="88" fillId="0" borderId="0" xfId="226" applyFont="1" applyAlignment="1">
      <alignment horizontal="left" indent="1"/>
    </xf>
    <xf numFmtId="0" fontId="88" fillId="29" borderId="0" xfId="226" applyFont="1" applyFill="1" applyAlignment="1">
      <alignment horizontal="left" indent="1"/>
    </xf>
    <xf numFmtId="170" fontId="93" fillId="0" borderId="0" xfId="226" applyNumberFormat="1" applyFont="1"/>
    <xf numFmtId="43" fontId="67" fillId="0" borderId="0" xfId="226" applyNumberFormat="1" applyFont="1"/>
    <xf numFmtId="0" fontId="101" fillId="0" borderId="0" xfId="226" applyFont="1"/>
    <xf numFmtId="171" fontId="101" fillId="0" borderId="0" xfId="226" applyNumberFormat="1" applyFont="1"/>
    <xf numFmtId="9" fontId="93" fillId="0" borderId="0" xfId="226" applyNumberFormat="1" applyFont="1"/>
    <xf numFmtId="170" fontId="67" fillId="0" borderId="0" xfId="226" applyNumberFormat="1" applyFont="1"/>
    <xf numFmtId="10" fontId="67" fillId="0" borderId="0" xfId="227" applyNumberFormat="1" applyFont="1"/>
    <xf numFmtId="43" fontId="67" fillId="0" borderId="0" xfId="228" applyFont="1"/>
    <xf numFmtId="167" fontId="67" fillId="0" borderId="0" xfId="226" applyNumberFormat="1" applyFont="1"/>
    <xf numFmtId="0" fontId="67" fillId="29" borderId="0" xfId="226" applyFont="1" applyFill="1" applyAlignment="1">
      <alignment horizontal="center"/>
    </xf>
    <xf numFmtId="0" fontId="68" fillId="33" borderId="0" xfId="226" applyFont="1" applyFill="1" applyAlignment="1">
      <alignment horizontal="right"/>
    </xf>
    <xf numFmtId="0" fontId="67" fillId="0" borderId="0" xfId="226" applyFont="1" applyAlignment="1">
      <alignment horizontal="center"/>
    </xf>
    <xf numFmtId="0" fontId="14" fillId="24" borderId="0" xfId="226" applyFont="1" applyFill="1" applyAlignment="1">
      <alignment horizontal="center"/>
    </xf>
    <xf numFmtId="0" fontId="68" fillId="33" borderId="0" xfId="226" applyFont="1" applyFill="1" applyAlignment="1">
      <alignment horizontal="left" indent="2"/>
    </xf>
    <xf numFmtId="0" fontId="67" fillId="24" borderId="0" xfId="226" applyFont="1" applyFill="1" applyAlignment="1">
      <alignment horizontal="center"/>
    </xf>
    <xf numFmtId="0" fontId="15" fillId="39" borderId="0" xfId="226" applyFont="1" applyFill="1"/>
    <xf numFmtId="171" fontId="101" fillId="39" borderId="0" xfId="226" applyNumberFormat="1" applyFont="1" applyFill="1"/>
    <xf numFmtId="171" fontId="88" fillId="0" borderId="0" xfId="226" applyNumberFormat="1" applyFont="1"/>
    <xf numFmtId="9" fontId="77" fillId="0" borderId="0" xfId="226" applyNumberFormat="1" applyFont="1"/>
    <xf numFmtId="9" fontId="78" fillId="0" borderId="0" xfId="226" applyNumberFormat="1" applyFont="1"/>
    <xf numFmtId="9" fontId="67" fillId="0" borderId="0" xfId="226" applyNumberFormat="1" applyFont="1"/>
    <xf numFmtId="0" fontId="69" fillId="37" borderId="0" xfId="226" applyFont="1" applyFill="1"/>
    <xf numFmtId="0" fontId="67" fillId="37" borderId="0" xfId="226" applyFont="1" applyFill="1"/>
    <xf numFmtId="9" fontId="67" fillId="0" borderId="0" xfId="227" applyFont="1" applyFill="1"/>
    <xf numFmtId="9" fontId="89" fillId="0" borderId="0" xfId="227" applyFont="1" applyFill="1"/>
    <xf numFmtId="0" fontId="89" fillId="37" borderId="0" xfId="226" applyFont="1" applyFill="1"/>
    <xf numFmtId="3" fontId="67" fillId="0" borderId="0" xfId="226" applyNumberFormat="1" applyFont="1"/>
    <xf numFmtId="0" fontId="67" fillId="39" borderId="0" xfId="226" applyFont="1" applyFill="1"/>
    <xf numFmtId="9" fontId="67" fillId="39" borderId="0" xfId="227" applyFont="1" applyFill="1"/>
    <xf numFmtId="170" fontId="67" fillId="39" borderId="0" xfId="226" applyNumberFormat="1" applyFont="1" applyFill="1"/>
    <xf numFmtId="10" fontId="89" fillId="0" borderId="0" xfId="226" applyNumberFormat="1" applyFont="1"/>
    <xf numFmtId="10" fontId="67" fillId="0" borderId="0" xfId="226" applyNumberFormat="1" applyFont="1"/>
    <xf numFmtId="0" fontId="101" fillId="35" borderId="0" xfId="226" applyFont="1" applyFill="1"/>
    <xf numFmtId="171" fontId="101" fillId="35" borderId="0" xfId="226" applyNumberFormat="1" applyFont="1" applyFill="1"/>
    <xf numFmtId="0" fontId="101" fillId="32" borderId="0" xfId="226" applyFont="1" applyFill="1"/>
    <xf numFmtId="171" fontId="101" fillId="32" borderId="0" xfId="226" applyNumberFormat="1" applyFont="1" applyFill="1"/>
    <xf numFmtId="0" fontId="85" fillId="0" borderId="0" xfId="226" applyFont="1"/>
    <xf numFmtId="0" fontId="68" fillId="34" borderId="0" xfId="226" applyFont="1" applyFill="1"/>
    <xf numFmtId="189" fontId="92" fillId="0" borderId="0" xfId="226" applyNumberFormat="1" applyFont="1" applyAlignment="1">
      <alignment horizontal="center"/>
    </xf>
    <xf numFmtId="43" fontId="7" fillId="0" borderId="0" xfId="226" applyNumberFormat="1"/>
    <xf numFmtId="0" fontId="90" fillId="0" borderId="0" xfId="226" applyFont="1" applyAlignment="1">
      <alignment horizontal="center"/>
    </xf>
    <xf numFmtId="167" fontId="89" fillId="0" borderId="0" xfId="227" applyNumberFormat="1" applyFont="1" applyFill="1" applyBorder="1" applyAlignment="1">
      <alignment horizontal="center"/>
    </xf>
    <xf numFmtId="10" fontId="67" fillId="0" borderId="0" xfId="227" applyNumberFormat="1" applyFont="1" applyFill="1" applyBorder="1"/>
    <xf numFmtId="10" fontId="67" fillId="29" borderId="0" xfId="227" applyNumberFormat="1" applyFont="1" applyFill="1" applyBorder="1"/>
    <xf numFmtId="0" fontId="19" fillId="0" borderId="112" xfId="0" applyFont="1" applyBorder="1" applyAlignment="1">
      <alignment horizontal="center"/>
    </xf>
    <xf numFmtId="0" fontId="19" fillId="0" borderId="14" xfId="0" applyFont="1" applyBorder="1"/>
    <xf numFmtId="43" fontId="14" fillId="0" borderId="19" xfId="0" applyNumberFormat="1" applyFont="1" applyBorder="1"/>
    <xf numFmtId="43" fontId="14" fillId="0" borderId="27" xfId="0" applyNumberFormat="1" applyFont="1" applyBorder="1"/>
    <xf numFmtId="0" fontId="15" fillId="0" borderId="14" xfId="0" applyFont="1" applyBorder="1"/>
    <xf numFmtId="0" fontId="19" fillId="0" borderId="19" xfId="0" applyFont="1" applyBorder="1" applyAlignment="1">
      <alignment horizontal="center"/>
    </xf>
    <xf numFmtId="43" fontId="19" fillId="0" borderId="27" xfId="0" applyNumberFormat="1" applyFont="1" applyBorder="1"/>
    <xf numFmtId="0" fontId="74" fillId="29" borderId="19" xfId="210" applyFont="1" applyFill="1" applyBorder="1" applyAlignment="1">
      <alignment horizontal="center"/>
    </xf>
    <xf numFmtId="0" fontId="19" fillId="0" borderId="34" xfId="0" applyFont="1" applyBorder="1"/>
    <xf numFmtId="43" fontId="14" fillId="0" borderId="20" xfId="0" applyNumberFormat="1" applyFont="1" applyBorder="1"/>
    <xf numFmtId="43" fontId="14" fillId="0" borderId="122" xfId="0" applyNumberFormat="1" applyFont="1" applyBorder="1"/>
    <xf numFmtId="10" fontId="88" fillId="0" borderId="28" xfId="218" applyNumberFormat="1" applyFont="1" applyFill="1" applyBorder="1" applyAlignment="1">
      <alignment horizontal="center"/>
    </xf>
    <xf numFmtId="0" fontId="89" fillId="0" borderId="0" xfId="210" applyFont="1" applyAlignment="1">
      <alignment horizontal="center"/>
    </xf>
    <xf numFmtId="164" fontId="88" fillId="0" borderId="0" xfId="210" applyNumberFormat="1" applyFont="1" applyAlignment="1">
      <alignment horizontal="center"/>
    </xf>
    <xf numFmtId="164" fontId="88" fillId="0" borderId="0" xfId="210" applyNumberFormat="1" applyFont="1"/>
    <xf numFmtId="164" fontId="90" fillId="0" borderId="0" xfId="210" applyNumberFormat="1" applyFont="1"/>
    <xf numFmtId="0" fontId="101" fillId="29" borderId="0" xfId="226" applyFont="1" applyFill="1" applyAlignment="1">
      <alignment wrapText="1"/>
    </xf>
    <xf numFmtId="43" fontId="90" fillId="0" borderId="0" xfId="228" applyFont="1"/>
    <xf numFmtId="164" fontId="88" fillId="29" borderId="0" xfId="210" applyNumberFormat="1" applyFont="1" applyFill="1"/>
    <xf numFmtId="43" fontId="88" fillId="0" borderId="0" xfId="210" applyNumberFormat="1" applyFont="1"/>
    <xf numFmtId="0" fontId="93" fillId="29" borderId="0" xfId="210" applyFont="1" applyFill="1"/>
    <xf numFmtId="3" fontId="73" fillId="31" borderId="0" xfId="212" applyNumberFormat="1" applyFont="1" applyFill="1"/>
    <xf numFmtId="0" fontId="14" fillId="0" borderId="0" xfId="173"/>
    <xf numFmtId="0" fontId="26" fillId="0" borderId="0" xfId="173" applyFont="1" applyAlignment="1">
      <alignment horizontal="center"/>
    </xf>
    <xf numFmtId="0" fontId="49" fillId="26" borderId="74" xfId="173" applyFont="1" applyFill="1" applyBorder="1" applyAlignment="1">
      <alignment horizontal="center"/>
    </xf>
    <xf numFmtId="0" fontId="15" fillId="0" borderId="0" xfId="173" applyFont="1" applyAlignment="1">
      <alignment horizontal="center"/>
    </xf>
    <xf numFmtId="164" fontId="15" fillId="0" borderId="0" xfId="44" applyFont="1" applyFill="1" applyBorder="1" applyAlignment="1">
      <alignment horizontal="center" vertical="center" wrapText="1"/>
    </xf>
    <xf numFmtId="0" fontId="49" fillId="26" borderId="19" xfId="173" applyFont="1" applyFill="1" applyBorder="1" applyAlignment="1">
      <alignment horizontal="center"/>
    </xf>
    <xf numFmtId="164" fontId="15" fillId="0" borderId="38" xfId="44" applyFont="1" applyFill="1" applyBorder="1" applyAlignment="1">
      <alignment horizontal="left"/>
    </xf>
    <xf numFmtId="164" fontId="15" fillId="0" borderId="38" xfId="44" applyFont="1" applyFill="1" applyBorder="1" applyAlignment="1">
      <alignment horizontal="center"/>
    </xf>
    <xf numFmtId="0" fontId="14" fillId="0" borderId="38" xfId="173" applyBorder="1"/>
    <xf numFmtId="164" fontId="15" fillId="0" borderId="36" xfId="44" applyFont="1" applyFill="1" applyBorder="1" applyAlignment="1">
      <alignment horizontal="left"/>
    </xf>
    <xf numFmtId="0" fontId="14" fillId="0" borderId="36" xfId="173" applyBorder="1"/>
    <xf numFmtId="164" fontId="14" fillId="0" borderId="36" xfId="44" applyFont="1" applyFill="1" applyBorder="1" applyAlignment="1">
      <alignment horizontal="left"/>
    </xf>
    <xf numFmtId="170" fontId="14" fillId="0" borderId="36" xfId="40" applyNumberFormat="1" applyFont="1" applyFill="1" applyBorder="1"/>
    <xf numFmtId="43" fontId="14" fillId="0" borderId="0" xfId="173" applyNumberFormat="1"/>
    <xf numFmtId="0" fontId="66" fillId="0" borderId="0" xfId="173" applyFont="1"/>
    <xf numFmtId="164" fontId="14" fillId="0" borderId="28" xfId="44" applyFont="1" applyFill="1" applyBorder="1"/>
    <xf numFmtId="170" fontId="14" fillId="0" borderId="28" xfId="40" applyNumberFormat="1" applyFont="1" applyFill="1" applyBorder="1"/>
    <xf numFmtId="164" fontId="14" fillId="0" borderId="33" xfId="44" applyFont="1" applyFill="1" applyBorder="1" applyAlignment="1">
      <alignment horizontal="left"/>
    </xf>
    <xf numFmtId="170" fontId="14" fillId="0" borderId="33" xfId="40" applyNumberFormat="1" applyFont="1" applyFill="1" applyBorder="1"/>
    <xf numFmtId="164" fontId="49" fillId="26" borderId="76" xfId="44" applyFont="1" applyFill="1" applyBorder="1" applyAlignment="1">
      <alignment horizontal="left"/>
    </xf>
    <xf numFmtId="164" fontId="52" fillId="26" borderId="90" xfId="44" applyFont="1" applyFill="1" applyBorder="1"/>
    <xf numFmtId="170" fontId="49" fillId="26" borderId="90" xfId="40" applyNumberFormat="1" applyFont="1" applyFill="1" applyBorder="1"/>
    <xf numFmtId="164" fontId="49" fillId="26" borderId="90" xfId="40" applyNumberFormat="1" applyFont="1" applyFill="1" applyBorder="1"/>
    <xf numFmtId="164" fontId="49" fillId="0" borderId="0" xfId="44" applyFont="1" applyFill="1" applyBorder="1" applyAlignment="1">
      <alignment horizontal="left"/>
    </xf>
    <xf numFmtId="164" fontId="52" fillId="0" borderId="0" xfId="44" applyFont="1" applyFill="1" applyBorder="1"/>
    <xf numFmtId="170" fontId="15" fillId="0" borderId="0" xfId="40" applyNumberFormat="1" applyFont="1" applyFill="1" applyBorder="1"/>
    <xf numFmtId="170" fontId="49" fillId="0" borderId="0" xfId="40" applyNumberFormat="1" applyFont="1" applyFill="1" applyBorder="1"/>
    <xf numFmtId="0" fontId="14" fillId="0" borderId="43" xfId="173" applyBorder="1"/>
    <xf numFmtId="0" fontId="14" fillId="0" borderId="58" xfId="173" applyBorder="1"/>
    <xf numFmtId="170" fontId="61" fillId="0" borderId="92" xfId="40" applyNumberFormat="1" applyFont="1" applyFill="1" applyBorder="1"/>
    <xf numFmtId="170" fontId="61" fillId="0" borderId="44" xfId="40" applyNumberFormat="1" applyFont="1" applyFill="1" applyBorder="1"/>
    <xf numFmtId="0" fontId="14" fillId="0" borderId="87" xfId="173" applyBorder="1"/>
    <xf numFmtId="0" fontId="14" fillId="0" borderId="61" xfId="173" applyBorder="1"/>
    <xf numFmtId="170" fontId="14" fillId="0" borderId="66" xfId="40" applyNumberFormat="1" applyFont="1" applyFill="1" applyBorder="1"/>
    <xf numFmtId="175" fontId="14" fillId="0" borderId="66" xfId="40" applyNumberFormat="1" applyFont="1" applyFill="1" applyBorder="1"/>
    <xf numFmtId="0" fontId="14" fillId="0" borderId="47" xfId="173" applyBorder="1"/>
    <xf numFmtId="0" fontId="14" fillId="0" borderId="60" xfId="173" applyBorder="1"/>
    <xf numFmtId="170" fontId="49" fillId="26" borderId="19" xfId="40" applyNumberFormat="1" applyFont="1" applyFill="1" applyBorder="1"/>
    <xf numFmtId="170" fontId="49" fillId="26" borderId="27" xfId="40" applyNumberFormat="1" applyFont="1" applyFill="1" applyBorder="1"/>
    <xf numFmtId="164" fontId="14" fillId="0" borderId="47" xfId="44" applyFont="1" applyFill="1" applyBorder="1" applyAlignment="1">
      <alignment horizontal="left"/>
    </xf>
    <xf numFmtId="164" fontId="14" fillId="0" borderId="60" xfId="44" applyFont="1" applyFill="1" applyBorder="1"/>
    <xf numFmtId="170" fontId="14" fillId="0" borderId="48" xfId="40" applyNumberFormat="1" applyFont="1" applyFill="1" applyBorder="1"/>
    <xf numFmtId="0" fontId="15" fillId="0" borderId="47" xfId="173" applyFont="1" applyBorder="1"/>
    <xf numFmtId="0" fontId="15" fillId="0" borderId="60" xfId="173" applyFont="1" applyBorder="1"/>
    <xf numFmtId="170" fontId="15" fillId="0" borderId="36" xfId="40" applyNumberFormat="1" applyFont="1" applyFill="1" applyBorder="1"/>
    <xf numFmtId="170" fontId="15" fillId="0" borderId="48" xfId="40" applyNumberFormat="1" applyFont="1" applyFill="1" applyBorder="1"/>
    <xf numFmtId="9" fontId="15" fillId="0" borderId="36" xfId="57" applyFont="1" applyFill="1" applyBorder="1"/>
    <xf numFmtId="43" fontId="15" fillId="0" borderId="36" xfId="40" applyFont="1" applyFill="1" applyBorder="1"/>
    <xf numFmtId="43" fontId="15" fillId="0" borderId="48" xfId="40" applyFont="1" applyFill="1" applyBorder="1"/>
    <xf numFmtId="43" fontId="14" fillId="0" borderId="51" xfId="40" applyFont="1" applyFill="1" applyBorder="1" applyAlignment="1"/>
    <xf numFmtId="43" fontId="14" fillId="0" borderId="59" xfId="40" applyFont="1" applyFill="1" applyBorder="1" applyAlignment="1"/>
    <xf numFmtId="191" fontId="14" fillId="0" borderId="93" xfId="40" applyNumberFormat="1" applyFont="1" applyFill="1" applyBorder="1"/>
    <xf numFmtId="191" fontId="14" fillId="0" borderId="94" xfId="40" applyNumberFormat="1" applyFont="1" applyFill="1" applyBorder="1"/>
    <xf numFmtId="0" fontId="14" fillId="0" borderId="0" xfId="173" applyAlignment="1">
      <alignment horizontal="left"/>
    </xf>
    <xf numFmtId="0" fontId="15" fillId="0" borderId="0" xfId="173" applyFont="1"/>
    <xf numFmtId="43" fontId="48" fillId="0" borderId="0" xfId="40" applyFont="1" applyFill="1" applyBorder="1" applyAlignment="1">
      <alignment horizontal="center"/>
    </xf>
    <xf numFmtId="171" fontId="90" fillId="29" borderId="0" xfId="210" applyNumberFormat="1" applyFont="1" applyFill="1"/>
    <xf numFmtId="171" fontId="14" fillId="0" borderId="0" xfId="40" applyNumberFormat="1" applyFont="1" applyFill="1" applyBorder="1"/>
    <xf numFmtId="164" fontId="14" fillId="0" borderId="0" xfId="173" applyNumberFormat="1"/>
    <xf numFmtId="169" fontId="50" fillId="0" borderId="0" xfId="40" applyNumberFormat="1" applyFont="1" applyFill="1" applyBorder="1"/>
    <xf numFmtId="170" fontId="50" fillId="0" borderId="0" xfId="40" applyNumberFormat="1" applyFont="1" applyFill="1" applyBorder="1"/>
    <xf numFmtId="0" fontId="14" fillId="32" borderId="0" xfId="173" applyFill="1"/>
    <xf numFmtId="164" fontId="14" fillId="32" borderId="0" xfId="173" applyNumberFormat="1" applyFill="1"/>
    <xf numFmtId="0" fontId="53" fillId="26" borderId="90" xfId="173" applyFont="1" applyFill="1" applyBorder="1" applyAlignment="1">
      <alignment horizontal="center" vertical="center" wrapText="1"/>
    </xf>
    <xf numFmtId="170" fontId="14" fillId="0" borderId="42" xfId="173" applyNumberFormat="1" applyBorder="1"/>
    <xf numFmtId="170" fontId="65" fillId="0" borderId="28" xfId="173" applyNumberFormat="1" applyFont="1" applyBorder="1"/>
    <xf numFmtId="170" fontId="14" fillId="0" borderId="39" xfId="173" applyNumberFormat="1" applyBorder="1"/>
    <xf numFmtId="9" fontId="50" fillId="26" borderId="19" xfId="57" applyFont="1" applyFill="1" applyBorder="1"/>
    <xf numFmtId="0" fontId="115" fillId="0" borderId="0" xfId="229" applyFont="1"/>
    <xf numFmtId="0" fontId="7" fillId="0" borderId="0" xfId="229"/>
    <xf numFmtId="17" fontId="85" fillId="0" borderId="0" xfId="229" applyNumberFormat="1" applyFont="1" applyAlignment="1">
      <alignment horizontal="right"/>
    </xf>
    <xf numFmtId="4" fontId="116" fillId="0" borderId="0" xfId="229" applyNumberFormat="1" applyFont="1" applyAlignment="1">
      <alignment horizontal="center"/>
    </xf>
    <xf numFmtId="192" fontId="116" fillId="0" borderId="0" xfId="229" applyNumberFormat="1" applyFont="1" applyAlignment="1">
      <alignment horizontal="center"/>
    </xf>
    <xf numFmtId="40" fontId="85" fillId="0" borderId="0" xfId="229" applyNumberFormat="1" applyFont="1"/>
    <xf numFmtId="191" fontId="85" fillId="0" borderId="129" xfId="229" applyNumberFormat="1" applyFont="1" applyBorder="1"/>
    <xf numFmtId="191" fontId="85" fillId="0" borderId="0" xfId="229" applyNumberFormat="1" applyFont="1"/>
    <xf numFmtId="193" fontId="85" fillId="0" borderId="132" xfId="229" applyNumberFormat="1" applyFont="1" applyBorder="1"/>
    <xf numFmtId="194" fontId="85" fillId="0" borderId="132" xfId="229" applyNumberFormat="1" applyFont="1" applyBorder="1"/>
    <xf numFmtId="193" fontId="85" fillId="0" borderId="133" xfId="229" applyNumberFormat="1" applyFont="1" applyBorder="1"/>
    <xf numFmtId="173" fontId="7" fillId="0" borderId="0" xfId="229" applyNumberFormat="1"/>
    <xf numFmtId="191" fontId="86" fillId="31" borderId="0" xfId="229" applyNumberFormat="1" applyFont="1" applyFill="1"/>
    <xf numFmtId="0" fontId="19" fillId="0" borderId="45" xfId="0" applyFont="1" applyBorder="1" applyAlignment="1">
      <alignment horizontal="center"/>
    </xf>
    <xf numFmtId="43" fontId="19" fillId="0" borderId="46" xfId="0" applyNumberFormat="1" applyFont="1" applyBorder="1"/>
    <xf numFmtId="167" fontId="50" fillId="26" borderId="19" xfId="57" applyNumberFormat="1" applyFont="1" applyFill="1" applyBorder="1" applyAlignment="1">
      <alignment horizontal="center"/>
    </xf>
    <xf numFmtId="195" fontId="15" fillId="0" borderId="74" xfId="173" applyNumberFormat="1" applyFont="1" applyBorder="1" applyAlignment="1">
      <alignment horizontal="center"/>
    </xf>
    <xf numFmtId="0" fontId="15" fillId="0" borderId="0" xfId="226" applyFont="1" applyAlignment="1">
      <alignment horizontal="center"/>
    </xf>
    <xf numFmtId="167" fontId="79" fillId="32" borderId="100" xfId="57" applyNumberFormat="1" applyFont="1" applyFill="1" applyBorder="1" applyAlignment="1">
      <alignment horizontal="right"/>
    </xf>
    <xf numFmtId="0" fontId="70" fillId="34" borderId="37" xfId="226" applyFont="1" applyFill="1" applyBorder="1" applyAlignment="1">
      <alignment horizontal="center" vertical="center" wrapText="1"/>
    </xf>
    <xf numFmtId="167" fontId="7" fillId="0" borderId="24" xfId="226" applyNumberFormat="1" applyBorder="1"/>
    <xf numFmtId="167" fontId="7" fillId="0" borderId="21" xfId="226" applyNumberFormat="1" applyBorder="1"/>
    <xf numFmtId="0" fontId="75" fillId="30" borderId="74" xfId="226" applyFont="1" applyFill="1" applyBorder="1" applyAlignment="1">
      <alignment horizontal="left" indent="1"/>
    </xf>
    <xf numFmtId="3" fontId="79" fillId="30" borderId="74" xfId="226" applyNumberFormat="1" applyFont="1" applyFill="1" applyBorder="1" applyAlignment="1">
      <alignment horizontal="center"/>
    </xf>
    <xf numFmtId="167" fontId="79" fillId="30" borderId="74" xfId="227" applyNumberFormat="1" applyFont="1" applyFill="1" applyBorder="1" applyAlignment="1">
      <alignment horizontal="center"/>
    </xf>
    <xf numFmtId="0" fontId="75" fillId="29" borderId="0" xfId="226" applyFont="1" applyFill="1" applyAlignment="1">
      <alignment horizontal="left" indent="1"/>
    </xf>
    <xf numFmtId="3" fontId="79" fillId="29" borderId="0" xfId="226" applyNumberFormat="1" applyFont="1" applyFill="1" applyAlignment="1">
      <alignment horizontal="center"/>
    </xf>
    <xf numFmtId="167" fontId="79" fillId="29" borderId="0" xfId="57" applyNumberFormat="1" applyFont="1" applyFill="1" applyBorder="1" applyAlignment="1">
      <alignment horizontal="right"/>
    </xf>
    <xf numFmtId="0" fontId="7" fillId="29" borderId="0" xfId="226" applyFill="1"/>
    <xf numFmtId="0" fontId="72" fillId="29" borderId="0" xfId="210" applyFont="1" applyFill="1"/>
    <xf numFmtId="3" fontId="73" fillId="29" borderId="0" xfId="226" applyNumberFormat="1" applyFont="1" applyFill="1" applyAlignment="1">
      <alignment horizontal="right" vertical="center"/>
    </xf>
    <xf numFmtId="167" fontId="74" fillId="29" borderId="0" xfId="227" applyNumberFormat="1" applyFont="1" applyFill="1" applyBorder="1" applyAlignment="1">
      <alignment horizontal="right" vertical="center"/>
    </xf>
    <xf numFmtId="3" fontId="73" fillId="0" borderId="28" xfId="226" applyNumberFormat="1" applyFont="1" applyBorder="1" applyAlignment="1">
      <alignment horizontal="center"/>
    </xf>
    <xf numFmtId="0" fontId="70" fillId="34" borderId="32" xfId="226" applyFont="1" applyFill="1" applyBorder="1" applyAlignment="1">
      <alignment horizontal="center" vertical="center" wrapText="1"/>
    </xf>
    <xf numFmtId="167" fontId="74" fillId="0" borderId="28" xfId="227" applyNumberFormat="1" applyFont="1" applyBorder="1" applyAlignment="1">
      <alignment horizontal="center"/>
    </xf>
    <xf numFmtId="0" fontId="70" fillId="34" borderId="111" xfId="226" applyFont="1" applyFill="1" applyBorder="1" applyAlignment="1">
      <alignment horizontal="center" vertical="center" wrapText="1"/>
    </xf>
    <xf numFmtId="0" fontId="7" fillId="0" borderId="121" xfId="226" applyBorder="1" applyAlignment="1">
      <alignment horizontal="left" indent="1"/>
    </xf>
    <xf numFmtId="3" fontId="73" fillId="29" borderId="28" xfId="226" applyNumberFormat="1" applyFont="1" applyFill="1" applyBorder="1" applyAlignment="1">
      <alignment horizontal="center"/>
    </xf>
    <xf numFmtId="167" fontId="7" fillId="0" borderId="35" xfId="226" applyNumberFormat="1" applyBorder="1"/>
    <xf numFmtId="167" fontId="79" fillId="30" borderId="74" xfId="227" applyNumberFormat="1" applyFont="1" applyFill="1" applyBorder="1" applyAlignment="1">
      <alignment horizontal="right"/>
    </xf>
    <xf numFmtId="3" fontId="76" fillId="29" borderId="28" xfId="226" applyNumberFormat="1" applyFont="1" applyFill="1" applyBorder="1" applyAlignment="1">
      <alignment horizontal="center"/>
    </xf>
    <xf numFmtId="0" fontId="15" fillId="29" borderId="0" xfId="226" applyFont="1" applyFill="1" applyAlignment="1">
      <alignment horizontal="center"/>
    </xf>
    <xf numFmtId="167" fontId="0" fillId="0" borderId="0" xfId="228" applyNumberFormat="1" applyFont="1" applyBorder="1"/>
    <xf numFmtId="3" fontId="74" fillId="35" borderId="0" xfId="210" applyNumberFormat="1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72" fillId="34" borderId="78" xfId="226" applyFont="1" applyFill="1" applyBorder="1"/>
    <xf numFmtId="0" fontId="70" fillId="34" borderId="116" xfId="210" applyFont="1" applyFill="1" applyBorder="1" applyAlignment="1">
      <alignment horizontal="left"/>
    </xf>
    <xf numFmtId="0" fontId="70" fillId="34" borderId="116" xfId="210" applyFont="1" applyFill="1" applyBorder="1"/>
    <xf numFmtId="0" fontId="70" fillId="34" borderId="116" xfId="210" applyFont="1" applyFill="1" applyBorder="1" applyAlignment="1">
      <alignment horizontal="center"/>
    </xf>
    <xf numFmtId="0" fontId="72" fillId="34" borderId="116" xfId="210" applyFont="1" applyFill="1" applyBorder="1"/>
    <xf numFmtId="0" fontId="72" fillId="34" borderId="100" xfId="210" applyFont="1" applyFill="1" applyBorder="1"/>
    <xf numFmtId="0" fontId="70" fillId="34" borderId="74" xfId="226" applyFont="1" applyFill="1" applyBorder="1" applyAlignment="1">
      <alignment horizontal="center" vertical="center" wrapText="1"/>
    </xf>
    <xf numFmtId="0" fontId="74" fillId="35" borderId="30" xfId="210" applyFont="1" applyFill="1" applyBorder="1" applyAlignment="1">
      <alignment horizontal="center"/>
    </xf>
    <xf numFmtId="4" fontId="74" fillId="35" borderId="30" xfId="210" applyNumberFormat="1" applyFont="1" applyFill="1" applyBorder="1" applyAlignment="1">
      <alignment horizontal="center"/>
    </xf>
    <xf numFmtId="0" fontId="74" fillId="29" borderId="11" xfId="210" applyFont="1" applyFill="1" applyBorder="1" applyAlignment="1">
      <alignment horizontal="center"/>
    </xf>
    <xf numFmtId="167" fontId="74" fillId="0" borderId="24" xfId="227" applyNumberFormat="1" applyFont="1" applyBorder="1"/>
    <xf numFmtId="3" fontId="74" fillId="32" borderId="74" xfId="210" applyNumberFormat="1" applyFont="1" applyFill="1" applyBorder="1" applyAlignment="1">
      <alignment horizontal="center"/>
    </xf>
    <xf numFmtId="167" fontId="74" fillId="32" borderId="74" xfId="227" applyNumberFormat="1" applyFont="1" applyFill="1" applyBorder="1" applyAlignment="1">
      <alignment horizontal="right"/>
    </xf>
    <xf numFmtId="4" fontId="74" fillId="32" borderId="74" xfId="210" applyNumberFormat="1" applyFont="1" applyFill="1" applyBorder="1" applyAlignment="1">
      <alignment horizontal="center"/>
    </xf>
    <xf numFmtId="0" fontId="70" fillId="0" borderId="0" xfId="226" applyFont="1"/>
    <xf numFmtId="0" fontId="70" fillId="0" borderId="0" xfId="210" applyFont="1" applyAlignment="1">
      <alignment horizontal="center"/>
    </xf>
    <xf numFmtId="4" fontId="70" fillId="0" borderId="0" xfId="210" applyNumberFormat="1" applyFont="1" applyAlignment="1">
      <alignment horizontal="center"/>
    </xf>
    <xf numFmtId="3" fontId="70" fillId="0" borderId="0" xfId="226" applyNumberFormat="1" applyFont="1"/>
    <xf numFmtId="167" fontId="70" fillId="0" borderId="0" xfId="227" applyNumberFormat="1" applyFont="1" applyFill="1" applyBorder="1"/>
    <xf numFmtId="3" fontId="79" fillId="32" borderId="0" xfId="226" applyNumberFormat="1" applyFont="1" applyFill="1"/>
    <xf numFmtId="167" fontId="79" fillId="32" borderId="0" xfId="227" applyNumberFormat="1" applyFont="1" applyFill="1" applyBorder="1"/>
    <xf numFmtId="3" fontId="74" fillId="0" borderId="0" xfId="226" applyNumberFormat="1" applyFont="1"/>
    <xf numFmtId="4" fontId="79" fillId="32" borderId="74" xfId="210" applyNumberFormat="1" applyFont="1" applyFill="1" applyBorder="1" applyAlignment="1">
      <alignment horizontal="center"/>
    </xf>
    <xf numFmtId="3" fontId="79" fillId="32" borderId="74" xfId="226" applyNumberFormat="1" applyFont="1" applyFill="1" applyBorder="1"/>
    <xf numFmtId="3" fontId="79" fillId="32" borderId="79" xfId="226" applyNumberFormat="1" applyFont="1" applyFill="1" applyBorder="1"/>
    <xf numFmtId="167" fontId="75" fillId="32" borderId="74" xfId="226" applyNumberFormat="1" applyFont="1" applyFill="1" applyBorder="1"/>
    <xf numFmtId="0" fontId="70" fillId="34" borderId="116" xfId="210" applyFont="1" applyFill="1" applyBorder="1" applyAlignment="1">
      <alignment horizontal="right"/>
    </xf>
    <xf numFmtId="0" fontId="79" fillId="34" borderId="100" xfId="210" applyFont="1" applyFill="1" applyBorder="1"/>
    <xf numFmtId="3" fontId="7" fillId="0" borderId="0" xfId="226" applyNumberFormat="1" applyAlignment="1">
      <alignment horizontal="center"/>
    </xf>
    <xf numFmtId="3" fontId="74" fillId="29" borderId="0" xfId="226" applyNumberFormat="1" applyFont="1" applyFill="1"/>
    <xf numFmtId="167" fontId="79" fillId="0" borderId="0" xfId="227" applyNumberFormat="1" applyFont="1" applyBorder="1"/>
    <xf numFmtId="2" fontId="7" fillId="46" borderId="74" xfId="226" applyNumberFormat="1" applyFill="1" applyBorder="1" applyAlignment="1">
      <alignment horizontal="center"/>
    </xf>
    <xf numFmtId="3" fontId="79" fillId="32" borderId="74" xfId="226" applyNumberFormat="1" applyFont="1" applyFill="1" applyBorder="1" applyAlignment="1">
      <alignment horizontal="center"/>
    </xf>
    <xf numFmtId="0" fontId="79" fillId="29" borderId="0" xfId="210" applyFont="1" applyFill="1" applyAlignment="1">
      <alignment horizontal="left"/>
    </xf>
    <xf numFmtId="2" fontId="7" fillId="29" borderId="0" xfId="226" applyNumberFormat="1" applyFill="1" applyAlignment="1">
      <alignment horizontal="center"/>
    </xf>
    <xf numFmtId="0" fontId="70" fillId="34" borderId="116" xfId="226" applyFont="1" applyFill="1" applyBorder="1"/>
    <xf numFmtId="0" fontId="70" fillId="34" borderId="100" xfId="226" applyFont="1" applyFill="1" applyBorder="1"/>
    <xf numFmtId="0" fontId="74" fillId="29" borderId="29" xfId="210" applyFont="1" applyFill="1" applyBorder="1" applyAlignment="1">
      <alignment horizontal="center"/>
    </xf>
    <xf numFmtId="0" fontId="7" fillId="29" borderId="30" xfId="226" applyFill="1" applyBorder="1"/>
    <xf numFmtId="0" fontId="7" fillId="0" borderId="30" xfId="226" applyBorder="1" applyAlignment="1">
      <alignment horizontal="center"/>
    </xf>
    <xf numFmtId="3" fontId="7" fillId="0" borderId="30" xfId="226" applyNumberFormat="1" applyBorder="1" applyAlignment="1">
      <alignment horizontal="center"/>
    </xf>
    <xf numFmtId="3" fontId="74" fillId="29" borderId="30" xfId="226" applyNumberFormat="1" applyFont="1" applyFill="1" applyBorder="1"/>
    <xf numFmtId="167" fontId="74" fillId="0" borderId="37" xfId="227" applyNumberFormat="1" applyFont="1" applyBorder="1"/>
    <xf numFmtId="167" fontId="74" fillId="0" borderId="24" xfId="227" applyNumberFormat="1" applyFont="1" applyBorder="1" applyAlignment="1">
      <alignment vertical="center"/>
    </xf>
    <xf numFmtId="167" fontId="79" fillId="32" borderId="74" xfId="227" applyNumberFormat="1" applyFont="1" applyFill="1" applyBorder="1"/>
    <xf numFmtId="3" fontId="79" fillId="32" borderId="74" xfId="210" applyNumberFormat="1" applyFont="1" applyFill="1" applyBorder="1" applyAlignment="1">
      <alignment horizontal="center"/>
    </xf>
    <xf numFmtId="167" fontId="74" fillId="32" borderId="74" xfId="227" applyNumberFormat="1" applyFont="1" applyFill="1" applyBorder="1"/>
    <xf numFmtId="0" fontId="7" fillId="0" borderId="30" xfId="226" applyBorder="1"/>
    <xf numFmtId="3" fontId="73" fillId="0" borderId="30" xfId="226" applyNumberFormat="1" applyFont="1" applyBorder="1"/>
    <xf numFmtId="0" fontId="74" fillId="29" borderId="30" xfId="210" applyFont="1" applyFill="1" applyBorder="1" applyAlignment="1">
      <alignment horizontal="center"/>
    </xf>
    <xf numFmtId="0" fontId="79" fillId="32" borderId="0" xfId="226" applyFont="1" applyFill="1" applyAlignment="1">
      <alignment horizontal="center"/>
    </xf>
    <xf numFmtId="0" fontId="74" fillId="32" borderId="0" xfId="226" applyFont="1" applyFill="1"/>
    <xf numFmtId="0" fontId="79" fillId="32" borderId="0" xfId="210" applyFont="1" applyFill="1" applyAlignment="1">
      <alignment horizontal="center"/>
    </xf>
    <xf numFmtId="0" fontId="7" fillId="0" borderId="0" xfId="226" applyAlignment="1">
      <alignment horizontal="left"/>
    </xf>
    <xf numFmtId="0" fontId="79" fillId="45" borderId="79" xfId="0" applyFont="1" applyFill="1" applyBorder="1" applyAlignment="1">
      <alignment horizontal="center" vertical="center" wrapText="1"/>
    </xf>
    <xf numFmtId="3" fontId="7" fillId="0" borderId="117" xfId="226" applyNumberFormat="1" applyBorder="1"/>
    <xf numFmtId="41" fontId="93" fillId="0" borderId="0" xfId="210" applyNumberFormat="1" applyFont="1"/>
    <xf numFmtId="0" fontId="68" fillId="34" borderId="113" xfId="173" applyFont="1" applyFill="1" applyBorder="1" applyAlignment="1">
      <alignment horizontal="center"/>
    </xf>
    <xf numFmtId="0" fontId="68" fillId="34" borderId="114" xfId="173" applyFont="1" applyFill="1" applyBorder="1" applyAlignment="1">
      <alignment horizontal="center"/>
    </xf>
    <xf numFmtId="0" fontId="68" fillId="34" borderId="134" xfId="173" applyFont="1" applyFill="1" applyBorder="1" applyAlignment="1">
      <alignment horizontal="center"/>
    </xf>
    <xf numFmtId="0" fontId="68" fillId="34" borderId="31" xfId="210" applyFont="1" applyFill="1" applyBorder="1" applyAlignment="1">
      <alignment horizontal="center"/>
    </xf>
    <xf numFmtId="43" fontId="88" fillId="0" borderId="30" xfId="173" applyNumberFormat="1" applyFont="1" applyBorder="1"/>
    <xf numFmtId="43" fontId="88" fillId="0" borderId="12" xfId="173" applyNumberFormat="1" applyFont="1" applyBorder="1"/>
    <xf numFmtId="0" fontId="68" fillId="34" borderId="78" xfId="210" applyFont="1" applyFill="1" applyBorder="1" applyAlignment="1">
      <alignment horizontal="center"/>
    </xf>
    <xf numFmtId="0" fontId="88" fillId="24" borderId="78" xfId="210" applyFont="1" applyFill="1" applyBorder="1" applyAlignment="1">
      <alignment horizontal="center"/>
    </xf>
    <xf numFmtId="0" fontId="88" fillId="24" borderId="100" xfId="210" applyFont="1" applyFill="1" applyBorder="1" applyAlignment="1">
      <alignment horizontal="center"/>
    </xf>
    <xf numFmtId="0" fontId="88" fillId="24" borderId="19" xfId="210" applyFont="1" applyFill="1" applyBorder="1"/>
    <xf numFmtId="0" fontId="88" fillId="24" borderId="19" xfId="210" applyFont="1" applyFill="1" applyBorder="1" applyAlignment="1">
      <alignment horizontal="center"/>
    </xf>
    <xf numFmtId="164" fontId="88" fillId="24" borderId="19" xfId="216" applyNumberFormat="1" applyFont="1" applyFill="1" applyBorder="1"/>
    <xf numFmtId="43" fontId="19" fillId="0" borderId="100" xfId="40" applyFont="1" applyFill="1" applyBorder="1"/>
    <xf numFmtId="0" fontId="15" fillId="0" borderId="44" xfId="0" applyFont="1" applyBorder="1" applyAlignment="1">
      <alignment horizontal="center"/>
    </xf>
    <xf numFmtId="0" fontId="15" fillId="0" borderId="48" xfId="0" applyFont="1" applyBorder="1" applyAlignment="1">
      <alignment horizontal="center"/>
    </xf>
    <xf numFmtId="43" fontId="15" fillId="0" borderId="126" xfId="0" applyNumberFormat="1" applyFont="1" applyBorder="1"/>
    <xf numFmtId="3" fontId="48" fillId="0" borderId="0" xfId="0" applyNumberFormat="1" applyFont="1"/>
    <xf numFmtId="43" fontId="48" fillId="0" borderId="0" xfId="40" applyFont="1" applyFill="1"/>
    <xf numFmtId="43" fontId="14" fillId="0" borderId="0" xfId="0" applyNumberFormat="1" applyFont="1" applyAlignment="1">
      <alignment vertical="center" wrapText="1"/>
    </xf>
    <xf numFmtId="181" fontId="48" fillId="0" borderId="0" xfId="0" applyNumberFormat="1" applyFont="1"/>
    <xf numFmtId="197" fontId="48" fillId="0" borderId="0" xfId="0" applyNumberFormat="1" applyFont="1"/>
    <xf numFmtId="43" fontId="19" fillId="0" borderId="0" xfId="40" applyFont="1" applyFill="1" applyAlignment="1">
      <alignment horizontal="left"/>
    </xf>
    <xf numFmtId="43" fontId="15" fillId="0" borderId="0" xfId="40" applyFont="1" applyFill="1" applyBorder="1" applyAlignment="1">
      <alignment horizontal="left" vertical="center" wrapText="1"/>
    </xf>
    <xf numFmtId="3" fontId="120" fillId="0" borderId="0" xfId="0" applyNumberFormat="1" applyFont="1"/>
    <xf numFmtId="0" fontId="25" fillId="29" borderId="0" xfId="0" applyFont="1" applyFill="1"/>
    <xf numFmtId="3" fontId="121" fillId="29" borderId="0" xfId="0" applyNumberFormat="1" applyFont="1" applyFill="1"/>
    <xf numFmtId="3" fontId="120" fillId="29" borderId="0" xfId="0" applyNumberFormat="1" applyFont="1" applyFill="1"/>
    <xf numFmtId="43" fontId="61" fillId="27" borderId="100" xfId="40" applyFont="1" applyFill="1" applyBorder="1"/>
    <xf numFmtId="0" fontId="88" fillId="24" borderId="67" xfId="210" applyFont="1" applyFill="1" applyBorder="1"/>
    <xf numFmtId="0" fontId="88" fillId="0" borderId="67" xfId="210" applyFont="1" applyBorder="1"/>
    <xf numFmtId="0" fontId="126" fillId="52" borderId="74" xfId="210" applyFont="1" applyFill="1" applyBorder="1"/>
    <xf numFmtId="0" fontId="126" fillId="52" borderId="74" xfId="210" applyFont="1" applyFill="1" applyBorder="1" applyAlignment="1">
      <alignment horizontal="center"/>
    </xf>
    <xf numFmtId="0" fontId="127" fillId="53" borderId="32" xfId="210" applyFont="1" applyFill="1" applyBorder="1"/>
    <xf numFmtId="0" fontId="127" fillId="53" borderId="32" xfId="210" applyFont="1" applyFill="1" applyBorder="1" applyAlignment="1">
      <alignment horizontal="center"/>
    </xf>
    <xf numFmtId="171" fontId="127" fillId="53" borderId="32" xfId="219" applyNumberFormat="1" applyFont="1" applyFill="1" applyBorder="1"/>
    <xf numFmtId="0" fontId="127" fillId="53" borderId="28" xfId="210" applyFont="1" applyFill="1" applyBorder="1"/>
    <xf numFmtId="0" fontId="127" fillId="53" borderId="28" xfId="210" applyFont="1" applyFill="1" applyBorder="1" applyAlignment="1">
      <alignment horizontal="center"/>
    </xf>
    <xf numFmtId="171" fontId="127" fillId="53" borderId="28" xfId="219" applyNumberFormat="1" applyFont="1" applyFill="1" applyBorder="1"/>
    <xf numFmtId="0" fontId="127" fillId="0" borderId="28" xfId="210" applyFont="1" applyBorder="1"/>
    <xf numFmtId="0" fontId="127" fillId="0" borderId="28" xfId="210" applyFont="1" applyBorder="1" applyAlignment="1">
      <alignment horizontal="center"/>
    </xf>
    <xf numFmtId="0" fontId="128" fillId="54" borderId="74" xfId="210" applyFont="1" applyFill="1" applyBorder="1"/>
    <xf numFmtId="0" fontId="127" fillId="54" borderId="74" xfId="210" applyFont="1" applyFill="1" applyBorder="1"/>
    <xf numFmtId="171" fontId="128" fillId="54" borderId="74" xfId="210" applyNumberFormat="1" applyFont="1" applyFill="1" applyBorder="1"/>
    <xf numFmtId="41" fontId="127" fillId="53" borderId="28" xfId="210" applyNumberFormat="1" applyFont="1" applyFill="1" applyBorder="1"/>
    <xf numFmtId="0" fontId="127" fillId="53" borderId="33" xfId="210" applyFont="1" applyFill="1" applyBorder="1"/>
    <xf numFmtId="171" fontId="127" fillId="0" borderId="33" xfId="219" applyNumberFormat="1" applyFont="1" applyFill="1" applyBorder="1"/>
    <xf numFmtId="0" fontId="127" fillId="0" borderId="0" xfId="210" applyFont="1"/>
    <xf numFmtId="171" fontId="127" fillId="53" borderId="33" xfId="219" applyNumberFormat="1" applyFont="1" applyFill="1" applyBorder="1"/>
    <xf numFmtId="0" fontId="128" fillId="54" borderId="74" xfId="210" applyFont="1" applyFill="1" applyBorder="1" applyAlignment="1">
      <alignment horizontal="center"/>
    </xf>
    <xf numFmtId="0" fontId="126" fillId="52" borderId="74" xfId="210" applyFont="1" applyFill="1" applyBorder="1" applyAlignment="1">
      <alignment horizontal="center" vertical="center"/>
    </xf>
    <xf numFmtId="0" fontId="127" fillId="53" borderId="32" xfId="210" applyFont="1" applyFill="1" applyBorder="1" applyAlignment="1">
      <alignment horizontal="left" vertical="center" indent="1"/>
    </xf>
    <xf numFmtId="0" fontId="127" fillId="53" borderId="32" xfId="210" applyFont="1" applyFill="1" applyBorder="1" applyAlignment="1">
      <alignment horizontal="center" vertical="center"/>
    </xf>
    <xf numFmtId="171" fontId="127" fillId="53" borderId="32" xfId="210" applyNumberFormat="1" applyFont="1" applyFill="1" applyBorder="1"/>
    <xf numFmtId="0" fontId="127" fillId="53" borderId="28" xfId="210" applyFont="1" applyFill="1" applyBorder="1" applyAlignment="1">
      <alignment horizontal="left" vertical="center" indent="1"/>
    </xf>
    <xf numFmtId="0" fontId="127" fillId="53" borderId="28" xfId="210" applyFont="1" applyFill="1" applyBorder="1" applyAlignment="1">
      <alignment horizontal="center" vertical="center"/>
    </xf>
    <xf numFmtId="171" fontId="127" fillId="53" borderId="28" xfId="210" applyNumberFormat="1" applyFont="1" applyFill="1" applyBorder="1"/>
    <xf numFmtId="0" fontId="127" fillId="53" borderId="39" xfId="210" applyFont="1" applyFill="1" applyBorder="1" applyAlignment="1">
      <alignment horizontal="left" vertical="center" indent="1"/>
    </xf>
    <xf numFmtId="0" fontId="127" fillId="53" borderId="39" xfId="210" applyFont="1" applyFill="1" applyBorder="1" applyAlignment="1">
      <alignment horizontal="center" vertical="center"/>
    </xf>
    <xf numFmtId="171" fontId="127" fillId="53" borderId="39" xfId="210" applyNumberFormat="1" applyFont="1" applyFill="1" applyBorder="1"/>
    <xf numFmtId="0" fontId="128" fillId="53" borderId="32" xfId="210" applyFont="1" applyFill="1" applyBorder="1" applyAlignment="1">
      <alignment vertical="center"/>
    </xf>
    <xf numFmtId="0" fontId="128" fillId="53" borderId="28" xfId="210" applyFont="1" applyFill="1" applyBorder="1" applyAlignment="1">
      <alignment horizontal="left" vertical="center"/>
    </xf>
    <xf numFmtId="171" fontId="128" fillId="53" borderId="28" xfId="210" applyNumberFormat="1" applyFont="1" applyFill="1" applyBorder="1"/>
    <xf numFmtId="0" fontId="128" fillId="54" borderId="74" xfId="210" applyFont="1" applyFill="1" applyBorder="1" applyAlignment="1">
      <alignment horizontal="center" vertical="center"/>
    </xf>
    <xf numFmtId="186" fontId="127" fillId="53" borderId="34" xfId="219" applyNumberFormat="1" applyFont="1" applyFill="1" applyBorder="1" applyAlignment="1">
      <alignment horizontal="center" vertical="center"/>
    </xf>
    <xf numFmtId="186" fontId="127" fillId="53" borderId="90" xfId="219" applyNumberFormat="1" applyFont="1" applyFill="1" applyBorder="1" applyAlignment="1">
      <alignment horizontal="center" vertical="center"/>
    </xf>
    <xf numFmtId="186" fontId="127" fillId="53" borderId="91" xfId="219" applyNumberFormat="1" applyFont="1" applyFill="1" applyBorder="1" applyAlignment="1">
      <alignment horizontal="center" vertical="center"/>
    </xf>
    <xf numFmtId="0" fontId="128" fillId="53" borderId="19" xfId="210" applyFont="1" applyFill="1" applyBorder="1" applyAlignment="1">
      <alignment vertical="center"/>
    </xf>
    <xf numFmtId="0" fontId="127" fillId="53" borderId="19" xfId="210" applyFont="1" applyFill="1" applyBorder="1" applyAlignment="1">
      <alignment horizontal="center" vertical="center"/>
    </xf>
    <xf numFmtId="171" fontId="128" fillId="53" borderId="19" xfId="210" applyNumberFormat="1" applyFont="1" applyFill="1" applyBorder="1"/>
    <xf numFmtId="0" fontId="128" fillId="54" borderId="76" xfId="210" applyFont="1" applyFill="1" applyBorder="1"/>
    <xf numFmtId="0" fontId="128" fillId="54" borderId="90" xfId="210" applyFont="1" applyFill="1" applyBorder="1" applyAlignment="1">
      <alignment horizontal="center" vertical="center"/>
    </xf>
    <xf numFmtId="171" fontId="128" fillId="54" borderId="90" xfId="210" applyNumberFormat="1" applyFont="1" applyFill="1" applyBorder="1"/>
    <xf numFmtId="3" fontId="73" fillId="31" borderId="28" xfId="226" applyNumberFormat="1" applyFont="1" applyFill="1" applyBorder="1" applyAlignment="1">
      <alignment horizontal="center"/>
    </xf>
    <xf numFmtId="3" fontId="129" fillId="55" borderId="32" xfId="0" applyNumberFormat="1" applyFont="1" applyFill="1" applyBorder="1" applyAlignment="1">
      <alignment horizontal="right"/>
    </xf>
    <xf numFmtId="3" fontId="129" fillId="55" borderId="28" xfId="0" applyNumberFormat="1" applyFont="1" applyFill="1" applyBorder="1" applyAlignment="1">
      <alignment horizontal="right"/>
    </xf>
    <xf numFmtId="3" fontId="129" fillId="55" borderId="32" xfId="0" applyNumberFormat="1" applyFont="1" applyFill="1" applyBorder="1" applyAlignment="1">
      <alignment horizontal="center"/>
    </xf>
    <xf numFmtId="3" fontId="129" fillId="55" borderId="28" xfId="0" applyNumberFormat="1" applyFont="1" applyFill="1" applyBorder="1" applyAlignment="1">
      <alignment horizontal="center"/>
    </xf>
    <xf numFmtId="3" fontId="129" fillId="55" borderId="33" xfId="0" applyNumberFormat="1" applyFont="1" applyFill="1" applyBorder="1" applyAlignment="1">
      <alignment horizontal="center"/>
    </xf>
    <xf numFmtId="3" fontId="130" fillId="57" borderId="78" xfId="0" applyNumberFormat="1" applyFont="1" applyFill="1" applyBorder="1"/>
    <xf numFmtId="3" fontId="130" fillId="57" borderId="116" xfId="0" applyNumberFormat="1" applyFont="1" applyFill="1" applyBorder="1"/>
    <xf numFmtId="3" fontId="130" fillId="57" borderId="100" xfId="0" applyNumberFormat="1" applyFont="1" applyFill="1" applyBorder="1"/>
    <xf numFmtId="3" fontId="73" fillId="56" borderId="78" xfId="0" applyNumberFormat="1" applyFont="1" applyFill="1" applyBorder="1"/>
    <xf numFmtId="3" fontId="73" fillId="56" borderId="116" xfId="0" applyNumberFormat="1" applyFont="1" applyFill="1" applyBorder="1"/>
    <xf numFmtId="3" fontId="73" fillId="56" borderId="100" xfId="0" applyNumberFormat="1" applyFont="1" applyFill="1" applyBorder="1"/>
    <xf numFmtId="0" fontId="19" fillId="0" borderId="95" xfId="0" applyFont="1" applyBorder="1" applyAlignment="1">
      <alignment horizontal="center"/>
    </xf>
    <xf numFmtId="43" fontId="19" fillId="0" borderId="144" xfId="0" applyNumberFormat="1" applyFont="1" applyBorder="1"/>
    <xf numFmtId="0" fontId="19" fillId="0" borderId="44" xfId="0" applyFont="1" applyBorder="1" applyAlignment="1">
      <alignment horizontal="center"/>
    </xf>
    <xf numFmtId="0" fontId="15" fillId="0" borderId="94" xfId="0" applyFont="1" applyBorder="1" applyAlignment="1">
      <alignment horizontal="center"/>
    </xf>
    <xf numFmtId="43" fontId="19" fillId="0" borderId="145" xfId="0" applyNumberFormat="1" applyFont="1" applyBorder="1"/>
    <xf numFmtId="3" fontId="131" fillId="31" borderId="28" xfId="226" applyNumberFormat="1" applyFont="1" applyFill="1" applyBorder="1" applyAlignment="1">
      <alignment horizontal="center"/>
    </xf>
    <xf numFmtId="0" fontId="19" fillId="0" borderId="94" xfId="0" applyFont="1" applyBorder="1" applyAlignment="1">
      <alignment horizontal="center"/>
    </xf>
    <xf numFmtId="0" fontId="125" fillId="0" borderId="121" xfId="226" applyFont="1" applyBorder="1" applyAlignment="1">
      <alignment horizontal="left" indent="1"/>
    </xf>
    <xf numFmtId="43" fontId="15" fillId="0" borderId="46" xfId="0" applyNumberFormat="1" applyFont="1" applyBorder="1"/>
    <xf numFmtId="0" fontId="19" fillId="0" borderId="73" xfId="0" applyFont="1" applyBorder="1" applyAlignment="1">
      <alignment horizontal="center"/>
    </xf>
    <xf numFmtId="43" fontId="19" fillId="0" borderId="146" xfId="0" applyNumberFormat="1" applyFont="1" applyBorder="1"/>
    <xf numFmtId="0" fontId="19" fillId="0" borderId="35" xfId="0" applyFont="1" applyBorder="1" applyAlignment="1">
      <alignment horizontal="center"/>
    </xf>
    <xf numFmtId="43" fontId="15" fillId="0" borderId="147" xfId="0" applyNumberFormat="1" applyFont="1" applyBorder="1"/>
    <xf numFmtId="43" fontId="19" fillId="0" borderId="147" xfId="0" applyNumberFormat="1" applyFont="1" applyBorder="1"/>
    <xf numFmtId="0" fontId="19" fillId="0" borderId="91" xfId="0" applyFont="1" applyBorder="1" applyAlignment="1">
      <alignment horizontal="center"/>
    </xf>
    <xf numFmtId="43" fontId="19" fillId="0" borderId="77" xfId="0" applyNumberFormat="1" applyFont="1" applyBorder="1"/>
    <xf numFmtId="43" fontId="15" fillId="55" borderId="77" xfId="0" applyNumberFormat="1" applyFont="1" applyFill="1" applyBorder="1"/>
    <xf numFmtId="171" fontId="88" fillId="0" borderId="42" xfId="216" applyNumberFormat="1" applyFont="1" applyFill="1" applyBorder="1"/>
    <xf numFmtId="0" fontId="88" fillId="24" borderId="96" xfId="210" applyFont="1" applyFill="1" applyBorder="1"/>
    <xf numFmtId="0" fontId="88" fillId="24" borderId="39" xfId="210" applyFont="1" applyFill="1" applyBorder="1" applyAlignment="1">
      <alignment horizontal="center"/>
    </xf>
    <xf numFmtId="171" fontId="88" fillId="24" borderId="39" xfId="216" applyNumberFormat="1" applyFont="1" applyFill="1" applyBorder="1"/>
    <xf numFmtId="43" fontId="14" fillId="0" borderId="127" xfId="40" applyFont="1" applyBorder="1"/>
    <xf numFmtId="186" fontId="88" fillId="24" borderId="28" xfId="216" applyNumberFormat="1" applyFont="1" applyFill="1" applyBorder="1"/>
    <xf numFmtId="43" fontId="88" fillId="0" borderId="0" xfId="40" applyFont="1"/>
    <xf numFmtId="0" fontId="19" fillId="0" borderId="148" xfId="0" applyFont="1" applyBorder="1"/>
    <xf numFmtId="164" fontId="15" fillId="0" borderId="149" xfId="44" applyFont="1" applyFill="1" applyBorder="1" applyAlignment="1">
      <alignment horizontal="left"/>
    </xf>
    <xf numFmtId="0" fontId="0" fillId="0" borderId="38" xfId="0" applyBorder="1"/>
    <xf numFmtId="0" fontId="0" fillId="0" borderId="149" xfId="0" applyBorder="1"/>
    <xf numFmtId="0" fontId="0" fillId="0" borderId="150" xfId="0" applyBorder="1"/>
    <xf numFmtId="0" fontId="15" fillId="0" borderId="38" xfId="0" applyFont="1" applyBorder="1"/>
    <xf numFmtId="0" fontId="0" fillId="0" borderId="36" xfId="0" applyBorder="1"/>
    <xf numFmtId="43" fontId="15" fillId="24" borderId="66" xfId="40" applyFont="1" applyFill="1" applyBorder="1"/>
    <xf numFmtId="4" fontId="0" fillId="0" borderId="36" xfId="0" applyNumberFormat="1" applyBorder="1"/>
    <xf numFmtId="3" fontId="74" fillId="29" borderId="0" xfId="226" applyNumberFormat="1" applyFont="1" applyFill="1" applyAlignment="1">
      <alignment vertical="center"/>
    </xf>
    <xf numFmtId="0" fontId="14" fillId="29" borderId="0" xfId="0" applyFont="1" applyFill="1" applyAlignment="1">
      <alignment vertical="center"/>
    </xf>
    <xf numFmtId="3" fontId="7" fillId="0" borderId="0" xfId="226" applyNumberFormat="1" applyAlignment="1">
      <alignment vertical="center"/>
    </xf>
    <xf numFmtId="10" fontId="88" fillId="29" borderId="19" xfId="218" applyNumberFormat="1" applyFont="1" applyFill="1" applyBorder="1" applyAlignment="1">
      <alignment horizontal="center"/>
    </xf>
    <xf numFmtId="172" fontId="88" fillId="0" borderId="0" xfId="210" applyNumberFormat="1" applyFont="1"/>
    <xf numFmtId="171" fontId="88" fillId="0" borderId="97" xfId="219" applyNumberFormat="1" applyFont="1" applyFill="1" applyBorder="1"/>
    <xf numFmtId="0" fontId="126" fillId="58" borderId="74" xfId="210" applyFont="1" applyFill="1" applyBorder="1"/>
    <xf numFmtId="0" fontId="126" fillId="58" borderId="74" xfId="210" applyFont="1" applyFill="1" applyBorder="1" applyAlignment="1">
      <alignment horizontal="center"/>
    </xf>
    <xf numFmtId="43" fontId="127" fillId="53" borderId="32" xfId="219" applyNumberFormat="1" applyFont="1" applyFill="1" applyBorder="1"/>
    <xf numFmtId="0" fontId="127" fillId="0" borderId="33" xfId="210" applyFont="1" applyBorder="1"/>
    <xf numFmtId="0" fontId="127" fillId="0" borderId="33" xfId="210" applyFont="1" applyBorder="1" applyAlignment="1">
      <alignment horizontal="center"/>
    </xf>
    <xf numFmtId="3" fontId="127" fillId="0" borderId="32" xfId="219" applyNumberFormat="1" applyFont="1" applyFill="1" applyBorder="1"/>
    <xf numFmtId="3" fontId="128" fillId="54" borderId="74" xfId="210" applyNumberFormat="1" applyFont="1" applyFill="1" applyBorder="1"/>
    <xf numFmtId="0" fontId="26" fillId="0" borderId="0" xfId="236" applyFont="1" applyAlignment="1">
      <alignment horizontal="center"/>
    </xf>
    <xf numFmtId="0" fontId="25" fillId="29" borderId="0" xfId="236" applyFont="1" applyFill="1"/>
    <xf numFmtId="0" fontId="25" fillId="0" borderId="0" xfId="236" applyFont="1"/>
    <xf numFmtId="0" fontId="24" fillId="59" borderId="29" xfId="236" applyFont="1" applyFill="1" applyBorder="1" applyAlignment="1">
      <alignment horizontal="centerContinuous"/>
    </xf>
    <xf numFmtId="0" fontId="24" fillId="59" borderId="30" xfId="236" applyFont="1" applyFill="1" applyBorder="1" applyAlignment="1">
      <alignment horizontal="centerContinuous"/>
    </xf>
    <xf numFmtId="0" fontId="24" fillId="59" borderId="37" xfId="236" applyFont="1" applyFill="1" applyBorder="1" applyAlignment="1">
      <alignment horizontal="centerContinuous"/>
    </xf>
    <xf numFmtId="2" fontId="25" fillId="0" borderId="11" xfId="236" applyNumberFormat="1" applyFont="1" applyBorder="1" applyAlignment="1">
      <alignment horizontal="centerContinuous"/>
    </xf>
    <xf numFmtId="2" fontId="25" fillId="0" borderId="0" xfId="236" applyNumberFormat="1" applyFont="1" applyAlignment="1">
      <alignment horizontal="centerContinuous"/>
    </xf>
    <xf numFmtId="2" fontId="25" fillId="0" borderId="24" xfId="236" applyNumberFormat="1" applyFont="1" applyBorder="1" applyAlignment="1">
      <alignment horizontal="centerContinuous"/>
    </xf>
    <xf numFmtId="0" fontId="25" fillId="59" borderId="13" xfId="236" applyFont="1" applyFill="1" applyBorder="1" applyAlignment="1">
      <alignment horizontal="centerContinuous"/>
    </xf>
    <xf numFmtId="0" fontId="25" fillId="59" borderId="12" xfId="236" applyFont="1" applyFill="1" applyBorder="1" applyAlignment="1">
      <alignment horizontal="centerContinuous"/>
    </xf>
    <xf numFmtId="0" fontId="25" fillId="59" borderId="21" xfId="236" applyFont="1" applyFill="1" applyBorder="1" applyAlignment="1">
      <alignment horizontal="centerContinuous"/>
    </xf>
    <xf numFmtId="0" fontId="117" fillId="0" borderId="0" xfId="236" applyFont="1" applyAlignment="1">
      <alignment horizontal="center"/>
    </xf>
    <xf numFmtId="0" fontId="117" fillId="24" borderId="0" xfId="236" applyFont="1" applyFill="1"/>
    <xf numFmtId="0" fontId="117" fillId="0" borderId="0" xfId="236" applyFont="1"/>
    <xf numFmtId="0" fontId="60" fillId="41" borderId="0" xfId="236" applyFont="1" applyFill="1" applyAlignment="1">
      <alignment horizontal="centerContinuous"/>
    </xf>
    <xf numFmtId="0" fontId="60" fillId="42" borderId="0" xfId="236" applyFont="1" applyFill="1" applyAlignment="1">
      <alignment horizontal="centerContinuous"/>
    </xf>
    <xf numFmtId="0" fontId="60" fillId="60" borderId="0" xfId="236" applyFont="1" applyFill="1" applyAlignment="1">
      <alignment horizontal="centerContinuous"/>
    </xf>
    <xf numFmtId="0" fontId="24" fillId="45" borderId="0" xfId="236" applyFont="1" applyFill="1" applyAlignment="1">
      <alignment horizontal="center"/>
    </xf>
    <xf numFmtId="0" fontId="24" fillId="45" borderId="0" xfId="236" applyFont="1" applyFill="1" applyAlignment="1">
      <alignment horizontal="center" vertical="center"/>
    </xf>
    <xf numFmtId="0" fontId="24" fillId="45" borderId="0" xfId="236" applyFont="1" applyFill="1" applyAlignment="1">
      <alignment horizontal="right"/>
    </xf>
    <xf numFmtId="0" fontId="25" fillId="45" borderId="0" xfId="236" applyFont="1" applyFill="1"/>
    <xf numFmtId="0" fontId="24" fillId="45" borderId="0" xfId="236" applyFont="1" applyFill="1"/>
    <xf numFmtId="0" fontId="24" fillId="0" borderId="0" xfId="236" applyFont="1" applyAlignment="1">
      <alignment horizontal="center"/>
    </xf>
    <xf numFmtId="0" fontId="24" fillId="24" borderId="0" xfId="236" applyFont="1" applyFill="1" applyAlignment="1">
      <alignment vertical="center"/>
    </xf>
    <xf numFmtId="0" fontId="24" fillId="24" borderId="0" xfId="236" applyFont="1" applyFill="1" applyAlignment="1">
      <alignment horizontal="right"/>
    </xf>
    <xf numFmtId="0" fontId="24" fillId="0" borderId="0" xfId="236" applyFont="1" applyAlignment="1">
      <alignment horizontal="right"/>
    </xf>
    <xf numFmtId="0" fontId="25" fillId="45" borderId="0" xfId="236" applyFont="1" applyFill="1" applyAlignment="1">
      <alignment horizontal="center"/>
    </xf>
    <xf numFmtId="0" fontId="24" fillId="45" borderId="0" xfId="236" applyFont="1" applyFill="1" applyAlignment="1">
      <alignment horizontal="centerContinuous"/>
    </xf>
    <xf numFmtId="3" fontId="24" fillId="45" borderId="0" xfId="236" applyNumberFormat="1" applyFont="1" applyFill="1" applyAlignment="1">
      <alignment horizontal="right"/>
    </xf>
    <xf numFmtId="3" fontId="24" fillId="45" borderId="0" xfId="236" applyNumberFormat="1" applyFont="1" applyFill="1"/>
    <xf numFmtId="3" fontId="25" fillId="45" borderId="0" xfId="236" applyNumberFormat="1" applyFont="1" applyFill="1"/>
    <xf numFmtId="0" fontId="25" fillId="0" borderId="0" xfId="236" applyFont="1" applyAlignment="1">
      <alignment horizontal="center"/>
    </xf>
    <xf numFmtId="0" fontId="24" fillId="24" borderId="0" xfId="236" applyFont="1" applyFill="1" applyAlignment="1">
      <alignment horizontal="centerContinuous"/>
    </xf>
    <xf numFmtId="3" fontId="24" fillId="24" borderId="0" xfId="236" applyNumberFormat="1" applyFont="1" applyFill="1" applyAlignment="1">
      <alignment horizontal="right"/>
    </xf>
    <xf numFmtId="3" fontId="24" fillId="24" borderId="0" xfId="236" applyNumberFormat="1" applyFont="1" applyFill="1" applyAlignment="1">
      <alignment horizontal="center"/>
    </xf>
    <xf numFmtId="3" fontId="24" fillId="0" borderId="0" xfId="236" applyNumberFormat="1" applyFont="1" applyAlignment="1">
      <alignment horizontal="center"/>
    </xf>
    <xf numFmtId="3" fontId="25" fillId="0" borderId="0" xfId="236" applyNumberFormat="1" applyFont="1"/>
    <xf numFmtId="0" fontId="74" fillId="0" borderId="0" xfId="236" applyFont="1"/>
    <xf numFmtId="0" fontId="125" fillId="0" borderId="0" xfId="236" applyFont="1"/>
    <xf numFmtId="1" fontId="125" fillId="0" borderId="0" xfId="236" applyNumberFormat="1" applyFont="1"/>
    <xf numFmtId="3" fontId="24" fillId="0" borderId="0" xfId="236" applyNumberFormat="1" applyFont="1"/>
    <xf numFmtId="14" fontId="25" fillId="0" borderId="0" xfId="236" applyNumberFormat="1" applyFont="1" applyAlignment="1">
      <alignment horizontal="center"/>
    </xf>
    <xf numFmtId="196" fontId="118" fillId="0" borderId="0" xfId="236" applyNumberFormat="1" applyFont="1" applyAlignment="1">
      <alignment horizontal="center"/>
    </xf>
    <xf numFmtId="43" fontId="25" fillId="0" borderId="0" xfId="237" applyFont="1" applyFill="1" applyBorder="1" applyAlignment="1">
      <alignment horizontal="center"/>
    </xf>
    <xf numFmtId="178" fontId="25" fillId="0" borderId="0" xfId="236" applyNumberFormat="1" applyFont="1"/>
    <xf numFmtId="196" fontId="25" fillId="0" borderId="0" xfId="236" applyNumberFormat="1" applyFont="1" applyAlignment="1">
      <alignment horizontal="center"/>
    </xf>
    <xf numFmtId="0" fontId="4" fillId="0" borderId="0" xfId="236"/>
    <xf numFmtId="0" fontId="4" fillId="48" borderId="0" xfId="236" applyFill="1"/>
    <xf numFmtId="3" fontId="120" fillId="29" borderId="0" xfId="236" applyNumberFormat="1" applyFont="1" applyFill="1"/>
    <xf numFmtId="0" fontId="24" fillId="0" borderId="0" xfId="236" applyFont="1"/>
    <xf numFmtId="3" fontId="121" fillId="29" borderId="0" xfId="236" applyNumberFormat="1" applyFont="1" applyFill="1"/>
    <xf numFmtId="0" fontId="118" fillId="0" borderId="0" xfId="236" applyFont="1"/>
    <xf numFmtId="196" fontId="119" fillId="0" borderId="0" xfId="236" applyNumberFormat="1" applyFont="1" applyAlignment="1">
      <alignment horizontal="center"/>
    </xf>
    <xf numFmtId="0" fontId="122" fillId="0" borderId="0" xfId="236" applyFont="1"/>
    <xf numFmtId="0" fontId="79" fillId="45" borderId="0" xfId="236" applyFont="1" applyFill="1"/>
    <xf numFmtId="196" fontId="24" fillId="45" borderId="0" xfId="236" applyNumberFormat="1" applyFont="1" applyFill="1" applyAlignment="1">
      <alignment horizontal="center"/>
    </xf>
    <xf numFmtId="43" fontId="24" fillId="45" borderId="0" xfId="237" applyFont="1" applyFill="1" applyBorder="1" applyAlignment="1">
      <alignment horizontal="center"/>
    </xf>
    <xf numFmtId="196" fontId="25" fillId="45" borderId="0" xfId="236" applyNumberFormat="1" applyFont="1" applyFill="1" applyAlignment="1">
      <alignment horizontal="center"/>
    </xf>
    <xf numFmtId="0" fontId="4" fillId="29" borderId="0" xfId="236" applyFill="1"/>
    <xf numFmtId="0" fontId="120" fillId="29" borderId="0" xfId="236" applyFont="1" applyFill="1"/>
    <xf numFmtId="3" fontId="25" fillId="29" borderId="0" xfId="236" applyNumberFormat="1" applyFont="1" applyFill="1"/>
    <xf numFmtId="3" fontId="118" fillId="0" borderId="0" xfId="236" applyNumberFormat="1" applyFont="1"/>
    <xf numFmtId="0" fontId="25" fillId="0" borderId="0" xfId="236" applyFont="1" applyAlignment="1">
      <alignment horizontal="left"/>
    </xf>
    <xf numFmtId="0" fontId="120" fillId="0" borderId="0" xfId="236" applyFont="1" applyAlignment="1">
      <alignment horizontal="left"/>
    </xf>
    <xf numFmtId="3" fontId="120" fillId="0" borderId="0" xfId="236" applyNumberFormat="1" applyFont="1" applyAlignment="1">
      <alignment horizontal="right"/>
    </xf>
    <xf numFmtId="3" fontId="120" fillId="29" borderId="0" xfId="236" applyNumberFormat="1" applyFont="1" applyFill="1" applyAlignment="1">
      <alignment horizontal="right"/>
    </xf>
    <xf numFmtId="0" fontId="24" fillId="0" borderId="0" xfId="236" applyFont="1" applyAlignment="1">
      <alignment horizontal="left"/>
    </xf>
    <xf numFmtId="3" fontId="25" fillId="24" borderId="0" xfId="236" applyNumberFormat="1" applyFont="1" applyFill="1"/>
    <xf numFmtId="0" fontId="25" fillId="32" borderId="0" xfId="236" applyFont="1" applyFill="1" applyAlignment="1">
      <alignment horizontal="center"/>
    </xf>
    <xf numFmtId="0" fontId="24" fillId="32" borderId="0" xfId="236" applyFont="1" applyFill="1" applyAlignment="1">
      <alignment horizontal="left"/>
    </xf>
    <xf numFmtId="3" fontId="24" fillId="32" borderId="0" xfId="236" applyNumberFormat="1" applyFont="1" applyFill="1"/>
    <xf numFmtId="3" fontId="25" fillId="32" borderId="0" xfId="236" applyNumberFormat="1" applyFont="1" applyFill="1"/>
    <xf numFmtId="196" fontId="25" fillId="32" borderId="0" xfId="236" applyNumberFormat="1" applyFont="1" applyFill="1" applyAlignment="1">
      <alignment horizontal="center"/>
    </xf>
    <xf numFmtId="0" fontId="25" fillId="32" borderId="0" xfId="236" applyFont="1" applyFill="1"/>
    <xf numFmtId="0" fontId="118" fillId="32" borderId="0" xfId="236" applyFont="1" applyFill="1"/>
    <xf numFmtId="0" fontId="25" fillId="49" borderId="0" xfId="236" applyFont="1" applyFill="1" applyAlignment="1">
      <alignment horizontal="left"/>
    </xf>
    <xf numFmtId="0" fontId="25" fillId="31" borderId="0" xfId="236" applyFont="1" applyFill="1" applyAlignment="1">
      <alignment horizontal="left"/>
    </xf>
    <xf numFmtId="1" fontId="125" fillId="31" borderId="0" xfId="236" applyNumberFormat="1" applyFont="1" applyFill="1"/>
    <xf numFmtId="3" fontId="125" fillId="31" borderId="0" xfId="236" applyNumberFormat="1" applyFont="1" applyFill="1"/>
    <xf numFmtId="0" fontId="24" fillId="32" borderId="0" xfId="236" applyFont="1" applyFill="1" applyAlignment="1">
      <alignment horizontal="center"/>
    </xf>
    <xf numFmtId="196" fontId="24" fillId="32" borderId="0" xfId="236" applyNumberFormat="1" applyFont="1" applyFill="1" applyAlignment="1">
      <alignment horizontal="center"/>
    </xf>
    <xf numFmtId="0" fontId="122" fillId="32" borderId="0" xfId="236" applyFont="1" applyFill="1"/>
    <xf numFmtId="0" fontId="24" fillId="32" borderId="0" xfId="236" applyFont="1" applyFill="1"/>
    <xf numFmtId="3" fontId="120" fillId="0" borderId="0" xfId="236" applyNumberFormat="1" applyFont="1"/>
    <xf numFmtId="0" fontId="25" fillId="48" borderId="0" xfId="236" applyFont="1" applyFill="1" applyAlignment="1">
      <alignment horizontal="left"/>
    </xf>
    <xf numFmtId="1" fontId="125" fillId="43" borderId="0" xfId="236" applyNumberFormat="1" applyFont="1" applyFill="1"/>
    <xf numFmtId="196" fontId="25" fillId="43" borderId="0" xfId="236" applyNumberFormat="1" applyFont="1" applyFill="1" applyAlignment="1">
      <alignment horizontal="center"/>
    </xf>
    <xf numFmtId="14" fontId="118" fillId="0" borderId="0" xfId="236" applyNumberFormat="1" applyFont="1"/>
    <xf numFmtId="0" fontId="120" fillId="0" borderId="0" xfId="236" applyFont="1"/>
    <xf numFmtId="0" fontId="25" fillId="0" borderId="0" xfId="236" applyFont="1" applyAlignment="1">
      <alignment horizontal="right"/>
    </xf>
    <xf numFmtId="0" fontId="125" fillId="31" borderId="0" xfId="236" applyFont="1" applyFill="1"/>
    <xf numFmtId="3" fontId="120" fillId="49" borderId="0" xfId="236" applyNumberFormat="1" applyFont="1" applyFill="1"/>
    <xf numFmtId="0" fontId="25" fillId="49" borderId="0" xfId="236" applyFont="1" applyFill="1"/>
    <xf numFmtId="0" fontId="24" fillId="45" borderId="79" xfId="236" applyFont="1" applyFill="1" applyBorder="1"/>
    <xf numFmtId="0" fontId="24" fillId="45" borderId="80" xfId="236" applyFont="1" applyFill="1" applyBorder="1"/>
    <xf numFmtId="3" fontId="24" fillId="45" borderId="80" xfId="236" applyNumberFormat="1" applyFont="1" applyFill="1" applyBorder="1"/>
    <xf numFmtId="0" fontId="25" fillId="0" borderId="67" xfId="236" applyFont="1" applyBorder="1"/>
    <xf numFmtId="0" fontId="25" fillId="0" borderId="89" xfId="236" applyFont="1" applyBorder="1"/>
    <xf numFmtId="0" fontId="25" fillId="0" borderId="104" xfId="236" applyFont="1" applyBorder="1"/>
    <xf numFmtId="3" fontId="25" fillId="0" borderId="104" xfId="236" applyNumberFormat="1" applyFont="1" applyBorder="1"/>
    <xf numFmtId="0" fontId="24" fillId="32" borderId="68" xfId="236" applyFont="1" applyFill="1" applyBorder="1"/>
    <xf numFmtId="0" fontId="24" fillId="32" borderId="70" xfId="236" applyFont="1" applyFill="1" applyBorder="1"/>
    <xf numFmtId="43" fontId="24" fillId="32" borderId="70" xfId="237" applyFont="1" applyFill="1" applyBorder="1"/>
    <xf numFmtId="43" fontId="24" fillId="32" borderId="22" xfId="237" applyFont="1" applyFill="1" applyBorder="1"/>
    <xf numFmtId="3" fontId="73" fillId="56" borderId="116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3" fontId="73" fillId="56" borderId="11" xfId="0" applyNumberFormat="1" applyFont="1" applyFill="1" applyBorder="1" applyAlignment="1">
      <alignment vertical="center"/>
    </xf>
    <xf numFmtId="3" fontId="73" fillId="56" borderId="11" xfId="0" applyNumberFormat="1" applyFont="1" applyFill="1" applyBorder="1"/>
    <xf numFmtId="3" fontId="73" fillId="56" borderId="11" xfId="0" applyNumberFormat="1" applyFont="1" applyFill="1" applyBorder="1" applyAlignment="1">
      <alignment horizontal="right" vertical="center"/>
    </xf>
    <xf numFmtId="9" fontId="74" fillId="35" borderId="24" xfId="227" applyFont="1" applyFill="1" applyBorder="1" applyAlignment="1">
      <alignment horizontal="right" vertical="center"/>
    </xf>
    <xf numFmtId="0" fontId="4" fillId="29" borderId="0" xfId="226" applyFont="1" applyFill="1"/>
    <xf numFmtId="0" fontId="134" fillId="34" borderId="111" xfId="226" applyFont="1" applyFill="1" applyBorder="1"/>
    <xf numFmtId="0" fontId="60" fillId="34" borderId="32" xfId="226" applyFont="1" applyFill="1" applyBorder="1" applyAlignment="1">
      <alignment horizontal="center" vertical="center"/>
    </xf>
    <xf numFmtId="0" fontId="60" fillId="34" borderId="73" xfId="226" applyFont="1" applyFill="1" applyBorder="1" applyAlignment="1">
      <alignment horizontal="center" vertical="center"/>
    </xf>
    <xf numFmtId="0" fontId="16" fillId="0" borderId="121" xfId="226" applyFont="1" applyBorder="1"/>
    <xf numFmtId="171" fontId="48" fillId="0" borderId="28" xfId="228" applyNumberFormat="1" applyFont="1" applyBorder="1"/>
    <xf numFmtId="171" fontId="48" fillId="0" borderId="35" xfId="228" applyNumberFormat="1" applyFont="1" applyBorder="1"/>
    <xf numFmtId="171" fontId="48" fillId="0" borderId="28" xfId="228" applyNumberFormat="1" applyFont="1" applyBorder="1" applyAlignment="1">
      <alignment horizontal="right"/>
    </xf>
    <xf numFmtId="0" fontId="16" fillId="30" borderId="74" xfId="226" applyFont="1" applyFill="1" applyBorder="1"/>
    <xf numFmtId="171" fontId="135" fillId="30" borderId="74" xfId="228" applyNumberFormat="1" applyFont="1" applyFill="1" applyBorder="1"/>
    <xf numFmtId="0" fontId="83" fillId="30" borderId="74" xfId="226" applyFont="1" applyFill="1" applyBorder="1"/>
    <xf numFmtId="167" fontId="135" fillId="30" borderId="74" xfId="227" applyNumberFormat="1" applyFont="1" applyFill="1" applyBorder="1"/>
    <xf numFmtId="0" fontId="4" fillId="0" borderId="0" xfId="226" applyFont="1" applyAlignment="1">
      <alignment horizontal="center" vertical="center"/>
    </xf>
    <xf numFmtId="9" fontId="14" fillId="0" borderId="11" xfId="57" applyFont="1" applyBorder="1" applyAlignment="1"/>
    <xf numFmtId="9" fontId="0" fillId="0" borderId="24" xfId="57" applyFont="1" applyBorder="1" applyAlignment="1"/>
    <xf numFmtId="0" fontId="79" fillId="0" borderId="74" xfId="0" applyFont="1" applyBorder="1" applyAlignment="1">
      <alignment horizontal="center" vertical="center" wrapText="1"/>
    </xf>
    <xf numFmtId="167" fontId="79" fillId="0" borderId="74" xfId="227" applyNumberFormat="1" applyFont="1" applyFill="1" applyBorder="1" applyAlignment="1">
      <alignment horizontal="center"/>
    </xf>
    <xf numFmtId="167" fontId="79" fillId="0" borderId="81" xfId="57" applyNumberFormat="1" applyFont="1" applyFill="1" applyBorder="1" applyAlignment="1">
      <alignment horizontal="right"/>
    </xf>
    <xf numFmtId="3" fontId="79" fillId="0" borderId="74" xfId="226" applyNumberFormat="1" applyFont="1" applyBorder="1" applyAlignment="1">
      <alignment horizontal="center"/>
    </xf>
    <xf numFmtId="3" fontId="79" fillId="0" borderId="79" xfId="226" applyNumberFormat="1" applyFont="1" applyBorder="1" applyAlignment="1">
      <alignment horizontal="center"/>
    </xf>
    <xf numFmtId="0" fontId="88" fillId="0" borderId="42" xfId="0" applyFont="1" applyBorder="1" applyAlignment="1">
      <alignment horizontal="center"/>
    </xf>
    <xf numFmtId="0" fontId="88" fillId="0" borderId="28" xfId="0" applyFont="1" applyBorder="1" applyAlignment="1">
      <alignment horizontal="center"/>
    </xf>
    <xf numFmtId="0" fontId="88" fillId="0" borderId="39" xfId="0" applyFont="1" applyBorder="1" applyAlignment="1">
      <alignment horizontal="center"/>
    </xf>
    <xf numFmtId="0" fontId="67" fillId="0" borderId="28" xfId="0" applyFont="1" applyBorder="1" applyAlignment="1">
      <alignment horizontal="center"/>
    </xf>
    <xf numFmtId="0" fontId="67" fillId="0" borderId="42" xfId="0" applyFont="1" applyBorder="1" applyAlignment="1">
      <alignment horizontal="center"/>
    </xf>
    <xf numFmtId="0" fontId="67" fillId="0" borderId="39" xfId="0" applyFont="1" applyBorder="1" applyAlignment="1">
      <alignment horizontal="center"/>
    </xf>
    <xf numFmtId="0" fontId="93" fillId="0" borderId="0" xfId="0" applyFont="1"/>
    <xf numFmtId="0" fontId="88" fillId="0" borderId="88" xfId="0" applyFont="1" applyBorder="1"/>
    <xf numFmtId="0" fontId="93" fillId="0" borderId="28" xfId="0" applyFont="1" applyBorder="1" applyAlignment="1">
      <alignment horizontal="center"/>
    </xf>
    <xf numFmtId="0" fontId="93" fillId="0" borderId="42" xfId="0" applyFont="1" applyBorder="1" applyAlignment="1">
      <alignment horizontal="center"/>
    </xf>
    <xf numFmtId="0" fontId="88" fillId="0" borderId="105" xfId="0" applyFont="1" applyBorder="1" applyAlignment="1">
      <alignment horizontal="left"/>
    </xf>
    <xf numFmtId="0" fontId="88" fillId="0" borderId="67" xfId="0" applyFont="1" applyBorder="1" applyAlignment="1">
      <alignment horizontal="left"/>
    </xf>
    <xf numFmtId="0" fontId="88" fillId="0" borderId="89" xfId="0" applyFont="1" applyBorder="1" applyAlignment="1">
      <alignment horizontal="left"/>
    </xf>
    <xf numFmtId="0" fontId="74" fillId="29" borderId="104" xfId="210" applyFont="1" applyFill="1" applyBorder="1" applyAlignment="1">
      <alignment horizontal="center"/>
    </xf>
    <xf numFmtId="0" fontId="67" fillId="0" borderId="88" xfId="0" applyFont="1" applyBorder="1"/>
    <xf numFmtId="0" fontId="74" fillId="29" borderId="152" xfId="210" applyFont="1" applyFill="1" applyBorder="1" applyAlignment="1">
      <alignment horizontal="center"/>
    </xf>
    <xf numFmtId="3" fontId="74" fillId="35" borderId="152" xfId="210" applyNumberFormat="1" applyFont="1" applyFill="1" applyBorder="1" applyAlignment="1">
      <alignment horizontal="center"/>
    </xf>
    <xf numFmtId="3" fontId="73" fillId="56" borderId="118" xfId="0" applyNumberFormat="1" applyFont="1" applyFill="1" applyBorder="1"/>
    <xf numFmtId="9" fontId="74" fillId="35" borderId="154" xfId="227" applyFont="1" applyFill="1" applyBorder="1" applyAlignment="1">
      <alignment horizontal="right" vertical="center"/>
    </xf>
    <xf numFmtId="0" fontId="67" fillId="0" borderId="67" xfId="0" applyFont="1" applyBorder="1"/>
    <xf numFmtId="0" fontId="67" fillId="0" borderId="89" xfId="0" applyFont="1" applyBorder="1"/>
    <xf numFmtId="3" fontId="74" fillId="35" borderId="104" xfId="210" applyNumberFormat="1" applyFont="1" applyFill="1" applyBorder="1" applyAlignment="1">
      <alignment horizontal="center"/>
    </xf>
    <xf numFmtId="3" fontId="73" fillId="56" borderId="151" xfId="0" applyNumberFormat="1" applyFont="1" applyFill="1" applyBorder="1"/>
    <xf numFmtId="9" fontId="74" fillId="35" borderId="153" xfId="227" applyFont="1" applyFill="1" applyBorder="1" applyAlignment="1">
      <alignment horizontal="right" vertical="center"/>
    </xf>
    <xf numFmtId="2" fontId="74" fillId="29" borderId="152" xfId="210" applyNumberFormat="1" applyFont="1" applyFill="1" applyBorder="1" applyAlignment="1">
      <alignment horizontal="center"/>
    </xf>
    <xf numFmtId="3" fontId="7" fillId="0" borderId="152" xfId="226" applyNumberFormat="1" applyBorder="1"/>
    <xf numFmtId="3" fontId="73" fillId="56" borderId="118" xfId="0" applyNumberFormat="1" applyFont="1" applyFill="1" applyBorder="1" applyAlignment="1">
      <alignment vertical="center"/>
    </xf>
    <xf numFmtId="2" fontId="74" fillId="29" borderId="104" xfId="210" applyNumberFormat="1" applyFont="1" applyFill="1" applyBorder="1" applyAlignment="1">
      <alignment horizontal="center"/>
    </xf>
    <xf numFmtId="3" fontId="73" fillId="56" borderId="151" xfId="0" applyNumberFormat="1" applyFont="1" applyFill="1" applyBorder="1" applyAlignment="1">
      <alignment vertical="center"/>
    </xf>
    <xf numFmtId="0" fontId="88" fillId="0" borderId="89" xfId="0" applyFont="1" applyBorder="1"/>
    <xf numFmtId="0" fontId="93" fillId="0" borderId="67" xfId="0" applyFont="1" applyBorder="1"/>
    <xf numFmtId="0" fontId="88" fillId="0" borderId="67" xfId="0" applyFont="1" applyBorder="1"/>
    <xf numFmtId="0" fontId="74" fillId="35" borderId="104" xfId="210" applyFont="1" applyFill="1" applyBorder="1" applyAlignment="1">
      <alignment horizontal="center"/>
    </xf>
    <xf numFmtId="2" fontId="74" fillId="35" borderId="104" xfId="210" applyNumberFormat="1" applyFont="1" applyFill="1" applyBorder="1" applyAlignment="1">
      <alignment horizontal="center"/>
    </xf>
    <xf numFmtId="0" fontId="67" fillId="0" borderId="68" xfId="0" applyFont="1" applyBorder="1"/>
    <xf numFmtId="0" fontId="74" fillId="35" borderId="70" xfId="210" applyFont="1" applyFill="1" applyBorder="1" applyAlignment="1">
      <alignment horizontal="center"/>
    </xf>
    <xf numFmtId="2" fontId="74" fillId="35" borderId="70" xfId="210" applyNumberFormat="1" applyFont="1" applyFill="1" applyBorder="1" applyAlignment="1">
      <alignment horizontal="center"/>
    </xf>
    <xf numFmtId="3" fontId="74" fillId="35" borderId="70" xfId="210" applyNumberFormat="1" applyFont="1" applyFill="1" applyBorder="1" applyAlignment="1">
      <alignment horizontal="center"/>
    </xf>
    <xf numFmtId="3" fontId="73" fillId="56" borderId="26" xfId="0" applyNumberFormat="1" applyFont="1" applyFill="1" applyBorder="1"/>
    <xf numFmtId="9" fontId="74" fillId="35" borderId="23" xfId="227" applyFont="1" applyFill="1" applyBorder="1" applyAlignment="1">
      <alignment horizontal="right" vertical="center"/>
    </xf>
    <xf numFmtId="0" fontId="74" fillId="35" borderId="152" xfId="210" applyFont="1" applyFill="1" applyBorder="1" applyAlignment="1">
      <alignment horizontal="center"/>
    </xf>
    <xf numFmtId="2" fontId="74" fillId="35" borderId="152" xfId="210" applyNumberFormat="1" applyFont="1" applyFill="1" applyBorder="1" applyAlignment="1">
      <alignment horizontal="center"/>
    </xf>
    <xf numFmtId="0" fontId="93" fillId="0" borderId="88" xfId="0" applyFont="1" applyBorder="1"/>
    <xf numFmtId="0" fontId="93" fillId="0" borderId="89" xfId="0" applyFont="1" applyBorder="1"/>
    <xf numFmtId="0" fontId="72" fillId="34" borderId="11" xfId="226" applyFont="1" applyFill="1" applyBorder="1"/>
    <xf numFmtId="0" fontId="72" fillId="34" borderId="0" xfId="226" applyFont="1" applyFill="1"/>
    <xf numFmtId="0" fontId="70" fillId="34" borderId="0" xfId="226" applyFont="1" applyFill="1" applyAlignment="1">
      <alignment horizontal="center" vertical="center" wrapText="1"/>
    </xf>
    <xf numFmtId="0" fontId="70" fillId="34" borderId="24" xfId="226" applyFont="1" applyFill="1" applyBorder="1" applyAlignment="1">
      <alignment horizontal="center" vertical="center" wrapText="1"/>
    </xf>
    <xf numFmtId="0" fontId="70" fillId="34" borderId="11" xfId="210" applyFont="1" applyFill="1" applyBorder="1" applyAlignment="1">
      <alignment horizontal="center"/>
    </xf>
    <xf numFmtId="4" fontId="7" fillId="0" borderId="0" xfId="226" applyNumberFormat="1" applyAlignment="1">
      <alignment horizontal="center"/>
    </xf>
    <xf numFmtId="0" fontId="7" fillId="34" borderId="11" xfId="226" applyFill="1" applyBorder="1"/>
    <xf numFmtId="0" fontId="7" fillId="34" borderId="13" xfId="226" applyFill="1" applyBorder="1"/>
    <xf numFmtId="0" fontId="74" fillId="29" borderId="12" xfId="210" applyFont="1" applyFill="1" applyBorder="1" applyAlignment="1">
      <alignment horizontal="center"/>
    </xf>
    <xf numFmtId="0" fontId="7" fillId="0" borderId="12" xfId="226" applyBorder="1"/>
    <xf numFmtId="0" fontId="7" fillId="0" borderId="12" xfId="226" applyBorder="1" applyAlignment="1">
      <alignment horizontal="center"/>
    </xf>
    <xf numFmtId="3" fontId="7" fillId="0" borderId="12" xfId="226" applyNumberFormat="1" applyBorder="1" applyAlignment="1">
      <alignment horizontal="center"/>
    </xf>
    <xf numFmtId="167" fontId="74" fillId="0" borderId="21" xfId="227" applyNumberFormat="1" applyFont="1" applyBorder="1"/>
    <xf numFmtId="3" fontId="136" fillId="44" borderId="74" xfId="226" applyNumberFormat="1" applyFont="1" applyFill="1" applyBorder="1"/>
    <xf numFmtId="3" fontId="81" fillId="30" borderId="74" xfId="226" applyNumberFormat="1" applyFont="1" applyFill="1" applyBorder="1" applyAlignment="1">
      <alignment horizontal="center"/>
    </xf>
    <xf numFmtId="43" fontId="8" fillId="0" borderId="0" xfId="221" applyNumberFormat="1"/>
    <xf numFmtId="0" fontId="15" fillId="0" borderId="11" xfId="0" applyFont="1" applyBorder="1" applyAlignment="1">
      <alignment horizontal="center" vertical="center" wrapText="1"/>
    </xf>
    <xf numFmtId="9" fontId="60" fillId="27" borderId="91" xfId="57" applyFont="1" applyFill="1" applyBorder="1" applyAlignment="1">
      <alignment vertical="center" wrapText="1"/>
    </xf>
    <xf numFmtId="170" fontId="61" fillId="27" borderId="74" xfId="0" applyNumberFormat="1" applyFont="1" applyFill="1" applyBorder="1" applyAlignment="1">
      <alignment horizontal="center" vertical="center" wrapText="1"/>
    </xf>
    <xf numFmtId="0" fontId="61" fillId="27" borderId="80" xfId="0" applyFont="1" applyFill="1" applyBorder="1" applyAlignment="1">
      <alignment horizontal="center" wrapText="1"/>
    </xf>
    <xf numFmtId="0" fontId="22" fillId="0" borderId="53" xfId="0" applyFont="1" applyBorder="1"/>
    <xf numFmtId="0" fontId="19" fillId="0" borderId="98" xfId="0" applyFont="1" applyBorder="1" applyAlignment="1">
      <alignment horizontal="center"/>
    </xf>
    <xf numFmtId="0" fontId="14" fillId="32" borderId="54" xfId="0" applyFont="1" applyFill="1" applyBorder="1"/>
    <xf numFmtId="0" fontId="14" fillId="61" borderId="11" xfId="0" applyFont="1" applyFill="1" applyBorder="1"/>
    <xf numFmtId="0" fontId="14" fillId="61" borderId="112" xfId="0" applyFont="1" applyFill="1" applyBorder="1" applyAlignment="1">
      <alignment horizontal="center"/>
    </xf>
    <xf numFmtId="0" fontId="14" fillId="0" borderId="43" xfId="0" applyFont="1" applyBorder="1"/>
    <xf numFmtId="0" fontId="14" fillId="0" borderId="47" xfId="0" applyFont="1" applyBorder="1"/>
    <xf numFmtId="0" fontId="14" fillId="0" borderId="51" xfId="0" applyFont="1" applyBorder="1"/>
    <xf numFmtId="0" fontId="14" fillId="0" borderId="111" xfId="0" applyFont="1" applyBorder="1"/>
    <xf numFmtId="0" fontId="14" fillId="0" borderId="101" xfId="0" applyFont="1" applyBorder="1"/>
    <xf numFmtId="0" fontId="14" fillId="0" borderId="11" xfId="0" applyFont="1" applyBorder="1"/>
    <xf numFmtId="0" fontId="14" fillId="0" borderId="29" xfId="0" applyFont="1" applyBorder="1"/>
    <xf numFmtId="0" fontId="14" fillId="0" borderId="87" xfId="0" applyFont="1" applyBorder="1"/>
    <xf numFmtId="0" fontId="14" fillId="0" borderId="79" xfId="0" applyFont="1" applyBorder="1"/>
    <xf numFmtId="0" fontId="3" fillId="0" borderId="0" xfId="239"/>
    <xf numFmtId="0" fontId="104" fillId="24" borderId="90" xfId="239" applyFont="1" applyFill="1" applyBorder="1" applyAlignment="1">
      <alignment horizontal="center" vertical="center"/>
    </xf>
    <xf numFmtId="0" fontId="104" fillId="24" borderId="80" xfId="239" applyFont="1" applyFill="1" applyBorder="1" applyAlignment="1">
      <alignment horizontal="center" vertical="center"/>
    </xf>
    <xf numFmtId="0" fontId="15" fillId="24" borderId="90" xfId="239" applyFont="1" applyFill="1" applyBorder="1" applyAlignment="1">
      <alignment horizontal="center" vertical="center" wrapText="1"/>
    </xf>
    <xf numFmtId="0" fontId="104" fillId="24" borderId="91" xfId="239" applyFont="1" applyFill="1" applyBorder="1" applyAlignment="1">
      <alignment horizontal="center" vertical="center" wrapText="1"/>
    </xf>
    <xf numFmtId="0" fontId="15" fillId="24" borderId="43" xfId="222" applyFont="1" applyFill="1" applyBorder="1" applyAlignment="1">
      <alignment horizontal="center"/>
    </xf>
    <xf numFmtId="0" fontId="14" fillId="24" borderId="92" xfId="239" applyFont="1" applyFill="1" applyBorder="1"/>
    <xf numFmtId="170" fontId="14" fillId="24" borderId="60" xfId="240" applyNumberFormat="1" applyFont="1" applyFill="1" applyBorder="1"/>
    <xf numFmtId="170" fontId="14" fillId="24" borderId="44" xfId="240" applyNumberFormat="1" applyFont="1" applyFill="1" applyBorder="1"/>
    <xf numFmtId="0" fontId="15" fillId="24" borderId="87" xfId="222" applyFont="1" applyFill="1" applyBorder="1" applyAlignment="1">
      <alignment horizontal="center"/>
    </xf>
    <xf numFmtId="0" fontId="14" fillId="24" borderId="36" xfId="239" applyFont="1" applyFill="1" applyBorder="1"/>
    <xf numFmtId="170" fontId="14" fillId="24" borderId="95" xfId="240" applyNumberFormat="1" applyFont="1" applyFill="1" applyBorder="1"/>
    <xf numFmtId="0" fontId="14" fillId="24" borderId="66" xfId="239" applyFont="1" applyFill="1" applyBorder="1"/>
    <xf numFmtId="0" fontId="14" fillId="24" borderId="28" xfId="239" applyFont="1" applyFill="1" applyBorder="1"/>
    <xf numFmtId="0" fontId="14" fillId="24" borderId="11" xfId="222" applyFont="1" applyFill="1" applyBorder="1" applyAlignment="1">
      <alignment horizontal="center"/>
    </xf>
    <xf numFmtId="170" fontId="14" fillId="24" borderId="0" xfId="240" applyNumberFormat="1" applyFont="1" applyFill="1" applyBorder="1"/>
    <xf numFmtId="3" fontId="3" fillId="0" borderId="28" xfId="239" applyNumberFormat="1" applyBorder="1"/>
    <xf numFmtId="170" fontId="14" fillId="24" borderId="35" xfId="240" applyNumberFormat="1" applyFont="1" applyFill="1" applyBorder="1"/>
    <xf numFmtId="0" fontId="104" fillId="24" borderId="82" xfId="239" applyFont="1" applyFill="1" applyBorder="1" applyAlignment="1">
      <alignment horizontal="center"/>
    </xf>
    <xf numFmtId="0" fontId="106" fillId="24" borderId="83" xfId="240" applyNumberFormat="1" applyFont="1" applyFill="1" applyBorder="1" applyAlignment="1" applyProtection="1">
      <alignment horizontal="center" vertical="center"/>
    </xf>
    <xf numFmtId="43" fontId="14" fillId="24" borderId="82" xfId="240" applyNumberFormat="1" applyFont="1" applyFill="1" applyBorder="1"/>
    <xf numFmtId="170" fontId="15" fillId="24" borderId="112" xfId="240" applyNumberFormat="1" applyFont="1" applyFill="1" applyBorder="1"/>
    <xf numFmtId="0" fontId="104" fillId="24" borderId="93" xfId="239" applyFont="1" applyFill="1" applyBorder="1" applyAlignment="1">
      <alignment horizontal="center" vertical="center" wrapText="1"/>
    </xf>
    <xf numFmtId="0" fontId="106" fillId="24" borderId="59" xfId="240" applyNumberFormat="1" applyFont="1" applyFill="1" applyBorder="1" applyAlignment="1" applyProtection="1">
      <alignment horizontal="center" vertical="center"/>
    </xf>
    <xf numFmtId="43" fontId="14" fillId="24" borderId="93" xfId="240" applyNumberFormat="1" applyFont="1" applyFill="1" applyBorder="1"/>
    <xf numFmtId="170" fontId="15" fillId="24" borderId="94" xfId="240" applyNumberFormat="1" applyFont="1" applyFill="1" applyBorder="1"/>
    <xf numFmtId="0" fontId="106" fillId="24" borderId="92" xfId="239" applyFont="1" applyFill="1" applyBorder="1"/>
    <xf numFmtId="170" fontId="106" fillId="24" borderId="58" xfId="240" applyNumberFormat="1" applyFont="1" applyFill="1" applyBorder="1" applyAlignment="1" applyProtection="1">
      <alignment horizontal="center"/>
    </xf>
    <xf numFmtId="43" fontId="14" fillId="24" borderId="92" xfId="240" applyNumberFormat="1" applyFont="1" applyFill="1" applyBorder="1" applyAlignment="1">
      <alignment horizontal="center" vertical="center" wrapText="1"/>
    </xf>
    <xf numFmtId="0" fontId="106" fillId="24" borderId="36" xfId="239" applyFont="1" applyFill="1" applyBorder="1"/>
    <xf numFmtId="0" fontId="106" fillId="24" borderId="60" xfId="239" applyFont="1" applyFill="1" applyBorder="1" applyAlignment="1">
      <alignment horizontal="center"/>
    </xf>
    <xf numFmtId="2" fontId="106" fillId="24" borderId="36" xfId="239" applyNumberFormat="1" applyFont="1" applyFill="1" applyBorder="1" applyAlignment="1">
      <alignment horizontal="right"/>
    </xf>
    <xf numFmtId="170" fontId="14" fillId="24" borderId="48" xfId="240" applyNumberFormat="1" applyFont="1" applyFill="1" applyBorder="1" applyAlignment="1">
      <alignment horizontal="center" vertical="center"/>
    </xf>
    <xf numFmtId="170" fontId="14" fillId="24" borderId="48" xfId="240" applyNumberFormat="1" applyFont="1" applyFill="1" applyBorder="1"/>
    <xf numFmtId="0" fontId="104" fillId="24" borderId="93" xfId="239" applyFont="1" applyFill="1" applyBorder="1" applyAlignment="1">
      <alignment horizontal="center"/>
    </xf>
    <xf numFmtId="0" fontId="104" fillId="24" borderId="59" xfId="239" applyFont="1" applyFill="1" applyBorder="1" applyAlignment="1">
      <alignment horizontal="center"/>
    </xf>
    <xf numFmtId="0" fontId="14" fillId="24" borderId="93" xfId="239" applyFont="1" applyFill="1" applyBorder="1"/>
    <xf numFmtId="0" fontId="106" fillId="24" borderId="58" xfId="239" applyFont="1" applyFill="1" applyBorder="1" applyAlignment="1">
      <alignment horizontal="center"/>
    </xf>
    <xf numFmtId="0" fontId="14" fillId="24" borderId="92" xfId="239" applyFont="1" applyFill="1" applyBorder="1" applyAlignment="1">
      <alignment horizontal="center" vertical="center" wrapText="1"/>
    </xf>
    <xf numFmtId="2" fontId="14" fillId="24" borderId="66" xfId="239" applyNumberFormat="1" applyFont="1" applyFill="1" applyBorder="1"/>
    <xf numFmtId="0" fontId="106" fillId="24" borderId="60" xfId="239" applyFont="1" applyFill="1" applyBorder="1"/>
    <xf numFmtId="0" fontId="106" fillId="24" borderId="58" xfId="239" applyFont="1" applyFill="1" applyBorder="1"/>
    <xf numFmtId="170" fontId="107" fillId="24" borderId="44" xfId="240" applyNumberFormat="1" applyFont="1" applyFill="1" applyBorder="1"/>
    <xf numFmtId="2" fontId="14" fillId="24" borderId="36" xfId="241" applyNumberFormat="1" applyFont="1" applyFill="1" applyBorder="1"/>
    <xf numFmtId="0" fontId="3" fillId="24" borderId="28" xfId="239" applyFill="1" applyBorder="1"/>
    <xf numFmtId="0" fontId="3" fillId="24" borderId="33" xfId="239" applyFill="1" applyBorder="1"/>
    <xf numFmtId="0" fontId="106" fillId="24" borderId="59" xfId="239" applyFont="1" applyFill="1" applyBorder="1" applyAlignment="1">
      <alignment horizontal="center"/>
    </xf>
    <xf numFmtId="188" fontId="14" fillId="24" borderId="93" xfId="241" applyNumberFormat="1" applyFont="1" applyFill="1" applyBorder="1"/>
    <xf numFmtId="170" fontId="14" fillId="24" borderId="94" xfId="240" applyNumberFormat="1" applyFont="1" applyFill="1" applyBorder="1"/>
    <xf numFmtId="0" fontId="108" fillId="24" borderId="93" xfId="239" applyFont="1" applyFill="1" applyBorder="1" applyAlignment="1">
      <alignment horizontal="center"/>
    </xf>
    <xf numFmtId="170" fontId="24" fillId="24" borderId="94" xfId="240" applyNumberFormat="1" applyFont="1" applyFill="1" applyBorder="1"/>
    <xf numFmtId="0" fontId="3" fillId="24" borderId="0" xfId="239" applyFill="1"/>
    <xf numFmtId="0" fontId="14" fillId="24" borderId="0" xfId="239" applyFont="1" applyFill="1"/>
    <xf numFmtId="0" fontId="14" fillId="0" borderId="0" xfId="239" applyFont="1"/>
    <xf numFmtId="9" fontId="3" fillId="0" borderId="0" xfId="57" applyFont="1"/>
    <xf numFmtId="43" fontId="15" fillId="61" borderId="46" xfId="0" applyNumberFormat="1" applyFont="1" applyFill="1" applyBorder="1"/>
    <xf numFmtId="43" fontId="15" fillId="61" borderId="50" xfId="0" applyNumberFormat="1" applyFont="1" applyFill="1" applyBorder="1"/>
    <xf numFmtId="43" fontId="15" fillId="49" borderId="144" xfId="0" applyNumberFormat="1" applyFont="1" applyFill="1" applyBorder="1"/>
    <xf numFmtId="43" fontId="19" fillId="49" borderId="50" xfId="0" applyNumberFormat="1" applyFont="1" applyFill="1" applyBorder="1"/>
    <xf numFmtId="3" fontId="14" fillId="0" borderId="11" xfId="0" applyNumberFormat="1" applyFont="1" applyBorder="1" applyAlignment="1">
      <alignment vertical="center" wrapText="1"/>
    </xf>
    <xf numFmtId="3" fontId="14" fillId="0" borderId="11" xfId="0" applyNumberFormat="1" applyFont="1" applyBorder="1" applyAlignment="1">
      <alignment vertical="center"/>
    </xf>
    <xf numFmtId="43" fontId="14" fillId="0" borderId="11" xfId="0" applyNumberFormat="1" applyFont="1" applyBorder="1" applyAlignment="1">
      <alignment wrapText="1"/>
    </xf>
    <xf numFmtId="43" fontId="14" fillId="0" borderId="0" xfId="0" applyNumberFormat="1" applyFont="1" applyAlignment="1">
      <alignment wrapText="1"/>
    </xf>
    <xf numFmtId="164" fontId="50" fillId="26" borderId="155" xfId="44" applyFont="1" applyFill="1" applyBorder="1" applyAlignment="1">
      <alignment horizontal="center"/>
    </xf>
    <xf numFmtId="164" fontId="15" fillId="0" borderId="52" xfId="44" applyFont="1" applyFill="1" applyBorder="1" applyAlignment="1">
      <alignment horizontal="left"/>
    </xf>
    <xf numFmtId="183" fontId="80" fillId="31" borderId="21" xfId="173" applyNumberFormat="1" applyFont="1" applyFill="1" applyBorder="1"/>
    <xf numFmtId="170" fontId="14" fillId="0" borderId="0" xfId="173" applyNumberFormat="1"/>
    <xf numFmtId="2" fontId="24" fillId="63" borderId="97" xfId="0" applyNumberFormat="1" applyFont="1" applyFill="1" applyBorder="1" applyAlignment="1">
      <alignment horizontal="center"/>
    </xf>
    <xf numFmtId="41" fontId="24" fillId="63" borderId="48" xfId="41" applyFont="1" applyFill="1" applyBorder="1" applyAlignment="1">
      <alignment horizontal="center"/>
    </xf>
    <xf numFmtId="0" fontId="68" fillId="34" borderId="30" xfId="210" applyFont="1" applyFill="1" applyBorder="1" applyAlignment="1">
      <alignment horizontal="center"/>
    </xf>
    <xf numFmtId="3" fontId="80" fillId="31" borderId="116" xfId="173" applyNumberFormat="1" applyFont="1" applyFill="1" applyBorder="1"/>
    <xf numFmtId="3" fontId="80" fillId="31" borderId="100" xfId="173" applyNumberFormat="1" applyFont="1" applyFill="1" applyBorder="1"/>
    <xf numFmtId="0" fontId="68" fillId="63" borderId="31" xfId="210" applyFont="1" applyFill="1" applyBorder="1" applyAlignment="1">
      <alignment horizontal="center"/>
    </xf>
    <xf numFmtId="170" fontId="15" fillId="0" borderId="79" xfId="0" applyNumberFormat="1" applyFont="1" applyBorder="1" applyAlignment="1">
      <alignment horizontal="center" vertical="center" wrapText="1"/>
    </xf>
    <xf numFmtId="170" fontId="15" fillId="0" borderId="80" xfId="0" applyNumberFormat="1" applyFont="1" applyBorder="1" applyAlignment="1">
      <alignment horizontal="center" vertical="center" wrapText="1"/>
    </xf>
    <xf numFmtId="170" fontId="15" fillId="0" borderId="81" xfId="0" applyNumberFormat="1" applyFont="1" applyBorder="1" applyAlignment="1">
      <alignment horizontal="center" vertical="center" wrapText="1"/>
    </xf>
    <xf numFmtId="0" fontId="61" fillId="27" borderId="25" xfId="0" applyFont="1" applyFill="1" applyBorder="1" applyAlignment="1">
      <alignment horizontal="center" wrapText="1"/>
    </xf>
    <xf numFmtId="0" fontId="61" fillId="27" borderId="114" xfId="0" applyFont="1" applyFill="1" applyBorder="1" applyAlignment="1">
      <alignment horizontal="center" wrapText="1"/>
    </xf>
    <xf numFmtId="43" fontId="14" fillId="0" borderId="36" xfId="40" applyFont="1" applyFill="1" applyBorder="1"/>
    <xf numFmtId="0" fontId="24" fillId="0" borderId="16" xfId="0" applyFont="1" applyBorder="1" applyProtection="1">
      <protection locked="0"/>
    </xf>
    <xf numFmtId="0" fontId="24" fillId="0" borderId="17" xfId="0" applyFont="1" applyBorder="1" applyAlignment="1" applyProtection="1">
      <alignment horizontal="center"/>
      <protection locked="0"/>
    </xf>
    <xf numFmtId="0" fontId="24" fillId="0" borderId="18" xfId="0" applyFont="1" applyBorder="1" applyAlignment="1" applyProtection="1">
      <alignment horizontal="center"/>
      <protection locked="0"/>
    </xf>
    <xf numFmtId="0" fontId="25" fillId="0" borderId="14" xfId="0" applyFont="1" applyBorder="1" applyProtection="1">
      <protection locked="0"/>
    </xf>
    <xf numFmtId="0" fontId="25" fillId="0" borderId="19" xfId="0" applyFont="1" applyBorder="1" applyAlignment="1" applyProtection="1">
      <alignment horizontal="center"/>
      <protection locked="0"/>
    </xf>
    <xf numFmtId="10" fontId="25" fillId="24" borderId="19" xfId="57" applyNumberFormat="1" applyFont="1" applyFill="1" applyBorder="1" applyAlignment="1" applyProtection="1">
      <alignment horizontal="center"/>
      <protection locked="0"/>
    </xf>
    <xf numFmtId="10" fontId="137" fillId="25" borderId="19" xfId="0" quotePrefix="1" applyNumberFormat="1" applyFont="1" applyFill="1" applyBorder="1" applyProtection="1">
      <protection locked="0"/>
    </xf>
    <xf numFmtId="0" fontId="25" fillId="0" borderId="13" xfId="0" applyFont="1" applyBorder="1" applyProtection="1">
      <protection locked="0"/>
    </xf>
    <xf numFmtId="0" fontId="25" fillId="0" borderId="20" xfId="0" applyFont="1" applyBorder="1" applyAlignment="1" applyProtection="1">
      <alignment horizontal="center"/>
      <protection locked="0"/>
    </xf>
    <xf numFmtId="10" fontId="137" fillId="25" borderId="33" xfId="57" applyNumberFormat="1" applyFont="1" applyFill="1" applyBorder="1" applyAlignment="1" applyProtection="1">
      <protection locked="0"/>
    </xf>
    <xf numFmtId="0" fontId="25" fillId="0" borderId="19" xfId="0" applyFont="1" applyBorder="1" applyProtection="1">
      <protection locked="0"/>
    </xf>
    <xf numFmtId="10" fontId="137" fillId="25" borderId="19" xfId="0" quotePrefix="1" applyNumberFormat="1" applyFont="1" applyFill="1" applyBorder="1" applyAlignment="1" applyProtection="1">
      <alignment horizontal="center"/>
      <protection locked="0"/>
    </xf>
    <xf numFmtId="10" fontId="137" fillId="25" borderId="19" xfId="57" applyNumberFormat="1" applyFont="1" applyFill="1" applyBorder="1" applyAlignment="1" applyProtection="1">
      <alignment horizontal="center"/>
      <protection locked="0"/>
    </xf>
    <xf numFmtId="0" fontId="24" fillId="45" borderId="19" xfId="0" applyFont="1" applyFill="1" applyBorder="1" applyProtection="1">
      <protection locked="0"/>
    </xf>
    <xf numFmtId="0" fontId="24" fillId="45" borderId="19" xfId="0" applyFont="1" applyFill="1" applyBorder="1" applyAlignment="1" applyProtection="1">
      <alignment horizontal="center"/>
      <protection locked="0"/>
    </xf>
    <xf numFmtId="0" fontId="14" fillId="0" borderId="88" xfId="173" applyBorder="1" applyAlignment="1">
      <alignment wrapText="1"/>
    </xf>
    <xf numFmtId="0" fontId="14" fillId="0" borderId="67" xfId="173" applyBorder="1" applyAlignment="1">
      <alignment wrapText="1"/>
    </xf>
    <xf numFmtId="0" fontId="14" fillId="0" borderId="89" xfId="173" applyBorder="1" applyAlignment="1">
      <alignment wrapText="1"/>
    </xf>
    <xf numFmtId="0" fontId="15" fillId="24" borderId="0" xfId="226" applyFont="1" applyFill="1"/>
    <xf numFmtId="0" fontId="128" fillId="64" borderId="74" xfId="210" applyFont="1" applyFill="1" applyBorder="1" applyAlignment="1">
      <alignment horizontal="center"/>
    </xf>
    <xf numFmtId="0" fontId="128" fillId="64" borderId="74" xfId="210" applyFont="1" applyFill="1" applyBorder="1"/>
    <xf numFmtId="3" fontId="128" fillId="64" borderId="74" xfId="210" applyNumberFormat="1" applyFont="1" applyFill="1" applyBorder="1"/>
    <xf numFmtId="0" fontId="0" fillId="0" borderId="0" xfId="0" applyAlignment="1">
      <alignment wrapText="1"/>
    </xf>
    <xf numFmtId="170" fontId="0" fillId="0" borderId="0" xfId="40" applyNumberFormat="1" applyFont="1" applyBorder="1" applyAlignment="1">
      <alignment wrapText="1"/>
    </xf>
    <xf numFmtId="0" fontId="61" fillId="27" borderId="104" xfId="0" applyFont="1" applyFill="1" applyBorder="1" applyAlignment="1">
      <alignment horizontal="center" wrapText="1"/>
    </xf>
    <xf numFmtId="43" fontId="48" fillId="0" borderId="0" xfId="40" applyFont="1" applyAlignment="1">
      <alignment wrapText="1"/>
    </xf>
    <xf numFmtId="0" fontId="15" fillId="0" borderId="87" xfId="0" applyFont="1" applyBorder="1" applyAlignment="1">
      <alignment wrapText="1"/>
    </xf>
    <xf numFmtId="0" fontId="19" fillId="0" borderId="115" xfId="0" applyFont="1" applyBorder="1" applyAlignment="1">
      <alignment wrapText="1"/>
    </xf>
    <xf numFmtId="0" fontId="19" fillId="0" borderId="61" xfId="0" applyFont="1" applyBorder="1" applyAlignment="1">
      <alignment wrapText="1"/>
    </xf>
    <xf numFmtId="0" fontId="19" fillId="0" borderId="62" xfId="0" applyFont="1" applyBorder="1" applyAlignment="1">
      <alignment wrapText="1"/>
    </xf>
    <xf numFmtId="0" fontId="0" fillId="0" borderId="47" xfId="0" applyBorder="1" applyAlignment="1">
      <alignment wrapText="1"/>
    </xf>
    <xf numFmtId="170" fontId="48" fillId="0" borderId="53" xfId="0" applyNumberFormat="1" applyFont="1" applyBorder="1" applyAlignment="1">
      <alignment wrapText="1"/>
    </xf>
    <xf numFmtId="0" fontId="48" fillId="0" borderId="60" xfId="0" applyFont="1" applyBorder="1" applyAlignment="1">
      <alignment horizontal="center" wrapText="1"/>
    </xf>
    <xf numFmtId="43" fontId="48" fillId="0" borderId="53" xfId="0" applyNumberFormat="1" applyFont="1" applyBorder="1" applyAlignment="1">
      <alignment horizontal="right" wrapText="1"/>
    </xf>
    <xf numFmtId="170" fontId="0" fillId="0" borderId="0" xfId="40" applyNumberFormat="1" applyFont="1" applyBorder="1" applyAlignment="1">
      <alignment horizontal="right" wrapText="1"/>
    </xf>
    <xf numFmtId="43" fontId="0" fillId="0" borderId="0" xfId="0" applyNumberFormat="1" applyAlignment="1">
      <alignment wrapText="1"/>
    </xf>
    <xf numFmtId="0" fontId="15" fillId="0" borderId="47" xfId="0" applyFont="1" applyBorder="1" applyAlignment="1">
      <alignment wrapText="1"/>
    </xf>
    <xf numFmtId="43" fontId="19" fillId="0" borderId="47" xfId="0" applyNumberFormat="1" applyFont="1" applyBorder="1" applyAlignment="1">
      <alignment wrapText="1"/>
    </xf>
    <xf numFmtId="43" fontId="0" fillId="0" borderId="47" xfId="40" applyFont="1" applyFill="1" applyBorder="1" applyAlignment="1">
      <alignment wrapText="1"/>
    </xf>
    <xf numFmtId="0" fontId="48" fillId="0" borderId="56" xfId="0" applyFont="1" applyBorder="1" applyAlignment="1">
      <alignment horizontal="center" wrapText="1"/>
    </xf>
    <xf numFmtId="0" fontId="19" fillId="0" borderId="0" xfId="0" applyFont="1" applyAlignment="1">
      <alignment wrapText="1"/>
    </xf>
    <xf numFmtId="170" fontId="48" fillId="0" borderId="116" xfId="0" applyNumberFormat="1" applyFont="1" applyBorder="1" applyAlignment="1">
      <alignment wrapText="1"/>
    </xf>
    <xf numFmtId="170" fontId="0" fillId="0" borderId="0" xfId="0" applyNumberFormat="1" applyAlignment="1">
      <alignment wrapText="1"/>
    </xf>
    <xf numFmtId="43" fontId="60" fillId="34" borderId="47" xfId="40" applyFont="1" applyFill="1" applyBorder="1" applyAlignment="1">
      <alignment horizontal="right" wrapText="1"/>
    </xf>
    <xf numFmtId="170" fontId="60" fillId="34" borderId="116" xfId="0" applyNumberFormat="1" applyFont="1" applyFill="1" applyBorder="1" applyAlignment="1">
      <alignment wrapText="1"/>
    </xf>
    <xf numFmtId="43" fontId="15" fillId="24" borderId="47" xfId="40" applyFont="1" applyFill="1" applyBorder="1" applyAlignment="1">
      <alignment wrapText="1"/>
    </xf>
    <xf numFmtId="0" fontId="19" fillId="0" borderId="116" xfId="0" applyFont="1" applyBorder="1" applyAlignment="1">
      <alignment wrapText="1"/>
    </xf>
    <xf numFmtId="4" fontId="0" fillId="0" borderId="47" xfId="0" applyNumberFormat="1" applyBorder="1" applyAlignment="1">
      <alignment wrapText="1"/>
    </xf>
    <xf numFmtId="2" fontId="48" fillId="63" borderId="60" xfId="0" applyNumberFormat="1" applyFont="1" applyFill="1" applyBorder="1" applyAlignment="1">
      <alignment horizontal="center" wrapText="1"/>
    </xf>
    <xf numFmtId="43" fontId="48" fillId="0" borderId="0" xfId="40" applyFont="1" applyAlignment="1">
      <alignment horizontal="left" wrapText="1"/>
    </xf>
    <xf numFmtId="4" fontId="0" fillId="24" borderId="79" xfId="0" applyNumberFormat="1" applyFill="1" applyBorder="1" applyAlignment="1">
      <alignment wrapText="1"/>
    </xf>
    <xf numFmtId="39" fontId="60" fillId="27" borderId="74" xfId="0" applyNumberFormat="1" applyFont="1" applyFill="1" applyBorder="1" applyAlignment="1">
      <alignment wrapText="1"/>
    </xf>
    <xf numFmtId="39" fontId="16" fillId="0" borderId="0" xfId="0" applyNumberFormat="1" applyFont="1" applyAlignment="1">
      <alignment wrapText="1"/>
    </xf>
    <xf numFmtId="43" fontId="56" fillId="0" borderId="0" xfId="40" applyFont="1" applyFill="1" applyBorder="1" applyAlignment="1">
      <alignment wrapText="1"/>
    </xf>
    <xf numFmtId="39" fontId="16" fillId="0" borderId="0" xfId="0" applyNumberFormat="1" applyFont="1" applyAlignment="1">
      <alignment horizontal="right" wrapText="1"/>
    </xf>
    <xf numFmtId="43" fontId="16" fillId="0" borderId="0" xfId="40" applyFont="1" applyFill="1" applyBorder="1" applyAlignment="1">
      <alignment wrapText="1"/>
    </xf>
    <xf numFmtId="43" fontId="64" fillId="27" borderId="79" xfId="40" applyFont="1" applyFill="1" applyBorder="1" applyAlignment="1">
      <alignment horizontal="center" wrapText="1"/>
    </xf>
    <xf numFmtId="0" fontId="64" fillId="27" borderId="15" xfId="0" applyFont="1" applyFill="1" applyBorder="1" applyAlignment="1">
      <alignment horizontal="center" wrapText="1"/>
    </xf>
    <xf numFmtId="0" fontId="15" fillId="0" borderId="52" xfId="0" applyFont="1" applyBorder="1" applyAlignment="1">
      <alignment wrapText="1"/>
    </xf>
    <xf numFmtId="44" fontId="48" fillId="0" borderId="135" xfId="232" applyFont="1" applyFill="1" applyBorder="1" applyAlignment="1">
      <alignment wrapText="1"/>
    </xf>
    <xf numFmtId="44" fontId="56" fillId="0" borderId="136" xfId="232" applyFont="1" applyFill="1" applyBorder="1" applyAlignment="1">
      <alignment wrapText="1"/>
    </xf>
    <xf numFmtId="44" fontId="48" fillId="0" borderId="137" xfId="232" applyFont="1" applyFill="1" applyBorder="1" applyAlignment="1">
      <alignment wrapText="1"/>
    </xf>
    <xf numFmtId="0" fontId="0" fillId="0" borderId="53" xfId="0" applyBorder="1" applyAlignment="1">
      <alignment wrapText="1"/>
    </xf>
    <xf numFmtId="44" fontId="16" fillId="0" borderId="138" xfId="232" applyFont="1" applyFill="1" applyBorder="1" applyAlignment="1">
      <alignment wrapText="1"/>
    </xf>
    <xf numFmtId="0" fontId="23" fillId="0" borderId="139" xfId="40" applyNumberFormat="1" applyFont="1" applyFill="1" applyBorder="1" applyAlignment="1">
      <alignment horizontal="center" wrapText="1"/>
    </xf>
    <xf numFmtId="44" fontId="48" fillId="0" borderId="140" xfId="232" applyFont="1" applyFill="1" applyBorder="1" applyAlignment="1">
      <alignment wrapText="1"/>
    </xf>
    <xf numFmtId="44" fontId="48" fillId="0" borderId="138" xfId="232" applyFont="1" applyFill="1" applyBorder="1" applyAlignment="1">
      <alignment wrapText="1"/>
    </xf>
    <xf numFmtId="44" fontId="56" fillId="0" borderId="139" xfId="232" applyFont="1" applyFill="1" applyBorder="1" applyAlignment="1">
      <alignment wrapText="1"/>
    </xf>
    <xf numFmtId="0" fontId="58" fillId="0" borderId="53" xfId="0" applyFont="1" applyBorder="1" applyAlignment="1">
      <alignment wrapText="1"/>
    </xf>
    <xf numFmtId="44" fontId="48" fillId="0" borderId="139" xfId="232" applyFont="1" applyFill="1" applyBorder="1" applyAlignment="1">
      <alignment wrapText="1"/>
    </xf>
    <xf numFmtId="0" fontId="15" fillId="0" borderId="53" xfId="0" applyFont="1" applyBorder="1" applyAlignment="1">
      <alignment wrapText="1"/>
    </xf>
    <xf numFmtId="43" fontId="0" fillId="0" borderId="53" xfId="40" applyFont="1" applyFill="1" applyBorder="1" applyAlignment="1">
      <alignment wrapText="1"/>
    </xf>
    <xf numFmtId="43" fontId="58" fillId="0" borderId="53" xfId="40" applyFont="1" applyFill="1" applyBorder="1" applyAlignment="1">
      <alignment wrapText="1"/>
    </xf>
    <xf numFmtId="43" fontId="15" fillId="24" borderId="53" xfId="40" applyFont="1" applyFill="1" applyBorder="1" applyAlignment="1">
      <alignment wrapText="1"/>
    </xf>
    <xf numFmtId="4" fontId="0" fillId="0" borderId="53" xfId="0" applyNumberFormat="1" applyBorder="1" applyAlignment="1">
      <alignment wrapText="1"/>
    </xf>
    <xf numFmtId="4" fontId="19" fillId="0" borderId="47" xfId="0" applyNumberFormat="1" applyFont="1" applyBorder="1" applyAlignment="1">
      <alignment wrapText="1"/>
    </xf>
    <xf numFmtId="4" fontId="14" fillId="0" borderId="53" xfId="0" applyNumberFormat="1" applyFont="1" applyBorder="1" applyAlignment="1">
      <alignment wrapText="1"/>
    </xf>
    <xf numFmtId="0" fontId="0" fillId="0" borderId="100" xfId="0" applyBorder="1" applyAlignment="1">
      <alignment wrapText="1"/>
    </xf>
    <xf numFmtId="44" fontId="63" fillId="27" borderId="141" xfId="232" applyFont="1" applyFill="1" applyBorder="1" applyAlignment="1">
      <alignment wrapText="1"/>
    </xf>
    <xf numFmtId="44" fontId="0" fillId="0" borderId="142" xfId="232" applyFont="1" applyBorder="1" applyAlignment="1">
      <alignment wrapText="1"/>
    </xf>
    <xf numFmtId="44" fontId="0" fillId="0" borderId="143" xfId="232" applyFont="1" applyBorder="1" applyAlignment="1">
      <alignment wrapText="1"/>
    </xf>
    <xf numFmtId="0" fontId="0" fillId="0" borderId="30" xfId="0" applyBorder="1" applyAlignment="1">
      <alignment wrapText="1"/>
    </xf>
    <xf numFmtId="43" fontId="48" fillId="0" borderId="30" xfId="40" applyFont="1" applyBorder="1" applyAlignment="1">
      <alignment wrapText="1"/>
    </xf>
    <xf numFmtId="4" fontId="22" fillId="0" borderId="0" xfId="0" applyNumberFormat="1" applyFont="1" applyAlignment="1">
      <alignment wrapText="1"/>
    </xf>
    <xf numFmtId="39" fontId="0" fillId="0" borderId="11" xfId="0" applyNumberFormat="1" applyBorder="1" applyAlignment="1">
      <alignment wrapText="1"/>
    </xf>
    <xf numFmtId="43" fontId="48" fillId="0" borderId="0" xfId="40" applyFont="1" applyBorder="1" applyAlignment="1">
      <alignment wrapText="1"/>
    </xf>
    <xf numFmtId="0" fontId="0" fillId="0" borderId="11" xfId="0" applyBorder="1" applyAlignment="1">
      <alignment wrapText="1"/>
    </xf>
    <xf numFmtId="176" fontId="15" fillId="0" borderId="0" xfId="0" applyNumberFormat="1" applyFont="1" applyAlignment="1">
      <alignment wrapText="1"/>
    </xf>
    <xf numFmtId="43" fontId="21" fillId="0" borderId="0" xfId="40" applyFont="1" applyBorder="1" applyAlignment="1">
      <alignment wrapText="1"/>
    </xf>
    <xf numFmtId="0" fontId="0" fillId="0" borderId="79" xfId="0" applyBorder="1" applyAlignment="1">
      <alignment wrapText="1"/>
    </xf>
    <xf numFmtId="170" fontId="15" fillId="0" borderId="80" xfId="0" applyNumberFormat="1" applyFont="1" applyBorder="1" applyAlignment="1">
      <alignment horizontal="center" wrapText="1"/>
    </xf>
    <xf numFmtId="170" fontId="0" fillId="0" borderId="81" xfId="0" applyNumberFormat="1" applyBorder="1" applyAlignment="1">
      <alignment wrapText="1"/>
    </xf>
    <xf numFmtId="9" fontId="0" fillId="0" borderId="0" xfId="57" applyFont="1" applyBorder="1" applyAlignment="1">
      <alignment wrapText="1"/>
    </xf>
    <xf numFmtId="0" fontId="16" fillId="0" borderId="0" xfId="0" applyFont="1" applyAlignment="1">
      <alignment horizontal="left" wrapText="1"/>
    </xf>
    <xf numFmtId="0" fontId="19" fillId="0" borderId="0" xfId="50" applyFont="1" applyAlignment="1">
      <alignment wrapText="1"/>
    </xf>
    <xf numFmtId="170" fontId="19" fillId="0" borderId="0" xfId="0" applyNumberFormat="1" applyFont="1" applyAlignment="1">
      <alignment vertical="center" wrapText="1"/>
    </xf>
    <xf numFmtId="198" fontId="0" fillId="0" borderId="0" xfId="40" applyNumberFormat="1" applyFont="1" applyBorder="1" applyAlignment="1">
      <alignment wrapText="1"/>
    </xf>
    <xf numFmtId="0" fontId="19" fillId="0" borderId="0" xfId="50" applyFont="1" applyAlignment="1">
      <alignment horizontal="left" wrapText="1"/>
    </xf>
    <xf numFmtId="43" fontId="0" fillId="0" borderId="0" xfId="40" applyFont="1" applyAlignment="1">
      <alignment wrapText="1"/>
    </xf>
    <xf numFmtId="0" fontId="125" fillId="0" borderId="0" xfId="236" applyFont="1" applyAlignment="1">
      <alignment wrapText="1"/>
    </xf>
    <xf numFmtId="4" fontId="14" fillId="0" borderId="0" xfId="0" applyNumberFormat="1" applyFont="1"/>
    <xf numFmtId="4" fontId="48" fillId="28" borderId="26" xfId="0" applyNumberFormat="1" applyFont="1" applyFill="1" applyBorder="1" applyAlignment="1">
      <alignment vertical="center"/>
    </xf>
    <xf numFmtId="164" fontId="48" fillId="28" borderId="14" xfId="44" applyFont="1" applyFill="1" applyBorder="1" applyAlignment="1">
      <alignment horizontal="right" vertical="center"/>
    </xf>
    <xf numFmtId="164" fontId="48" fillId="28" borderId="27" xfId="44" applyFont="1" applyFill="1" applyBorder="1" applyAlignment="1">
      <alignment horizontal="right" vertical="center"/>
    </xf>
    <xf numFmtId="164" fontId="48" fillId="28" borderId="23" xfId="44" applyFont="1" applyFill="1" applyBorder="1" applyAlignment="1">
      <alignment horizontal="right" vertical="center"/>
    </xf>
    <xf numFmtId="164" fontId="48" fillId="28" borderId="22" xfId="44" applyFont="1" applyFill="1" applyBorder="1" applyAlignment="1">
      <alignment horizontal="right" vertical="center"/>
    </xf>
    <xf numFmtId="43" fontId="0" fillId="0" borderId="0" xfId="0" applyNumberFormat="1" applyAlignment="1">
      <alignment vertical="center"/>
    </xf>
    <xf numFmtId="0" fontId="48" fillId="28" borderId="26" xfId="0" applyFont="1" applyFill="1" applyBorder="1" applyAlignment="1">
      <alignment vertical="center"/>
    </xf>
    <xf numFmtId="43" fontId="48" fillId="28" borderId="26" xfId="0" applyNumberFormat="1" applyFont="1" applyFill="1" applyBorder="1" applyAlignment="1">
      <alignment vertical="center"/>
    </xf>
    <xf numFmtId="43" fontId="48" fillId="28" borderId="26" xfId="40" applyFont="1" applyFill="1" applyBorder="1" applyAlignment="1">
      <alignment vertical="center"/>
    </xf>
    <xf numFmtId="43" fontId="48" fillId="28" borderId="27" xfId="40" applyFont="1" applyFill="1" applyBorder="1" applyAlignment="1">
      <alignment vertical="center"/>
    </xf>
    <xf numFmtId="4" fontId="15" fillId="0" borderId="0" xfId="0" applyNumberFormat="1" applyFont="1" applyAlignment="1">
      <alignment vertical="center" wrapText="1"/>
    </xf>
    <xf numFmtId="177" fontId="16" fillId="50" borderId="79" xfId="0" applyNumberFormat="1" applyFont="1" applyFill="1" applyBorder="1" applyAlignment="1">
      <alignment vertical="center" wrapText="1"/>
    </xf>
    <xf numFmtId="177" fontId="16" fillId="50" borderId="80" xfId="0" applyNumberFormat="1" applyFont="1" applyFill="1" applyBorder="1" applyAlignment="1">
      <alignment vertical="center" wrapText="1"/>
    </xf>
    <xf numFmtId="177" fontId="16" fillId="50" borderId="81" xfId="0" applyNumberFormat="1" applyFont="1" applyFill="1" applyBorder="1" applyAlignment="1">
      <alignment vertical="center" wrapText="1"/>
    </xf>
    <xf numFmtId="43" fontId="16" fillId="50" borderId="79" xfId="40" applyFont="1" applyFill="1" applyBorder="1" applyAlignment="1">
      <alignment vertical="center" wrapText="1"/>
    </xf>
    <xf numFmtId="177" fontId="16" fillId="30" borderId="79" xfId="0" applyNumberFormat="1" applyFont="1" applyFill="1" applyBorder="1" applyAlignment="1">
      <alignment vertical="center" wrapText="1"/>
    </xf>
    <xf numFmtId="177" fontId="16" fillId="30" borderId="80" xfId="0" applyNumberFormat="1" applyFont="1" applyFill="1" applyBorder="1" applyAlignment="1">
      <alignment vertical="center" wrapText="1"/>
    </xf>
    <xf numFmtId="177" fontId="16" fillId="30" borderId="81" xfId="0" applyNumberFormat="1" applyFont="1" applyFill="1" applyBorder="1" applyAlignment="1">
      <alignment vertical="center" wrapText="1"/>
    </xf>
    <xf numFmtId="177" fontId="16" fillId="47" borderId="79" xfId="0" applyNumberFormat="1" applyFont="1" applyFill="1" applyBorder="1" applyAlignment="1">
      <alignment vertical="center" wrapText="1"/>
    </xf>
    <xf numFmtId="177" fontId="16" fillId="47" borderId="80" xfId="0" applyNumberFormat="1" applyFont="1" applyFill="1" applyBorder="1" applyAlignment="1">
      <alignment vertical="center" wrapText="1"/>
    </xf>
    <xf numFmtId="177" fontId="16" fillId="47" borderId="81" xfId="0" applyNumberFormat="1" applyFont="1" applyFill="1" applyBorder="1" applyAlignment="1">
      <alignment vertical="center" wrapText="1"/>
    </xf>
    <xf numFmtId="177" fontId="16" fillId="51" borderId="79" xfId="0" applyNumberFormat="1" applyFont="1" applyFill="1" applyBorder="1" applyAlignment="1">
      <alignment vertical="center" wrapText="1"/>
    </xf>
    <xf numFmtId="177" fontId="16" fillId="51" borderId="80" xfId="0" applyNumberFormat="1" applyFont="1" applyFill="1" applyBorder="1" applyAlignment="1">
      <alignment vertical="center" wrapText="1"/>
    </xf>
    <xf numFmtId="177" fontId="16" fillId="51" borderId="81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3" fontId="24" fillId="0" borderId="0" xfId="40" applyFont="1" applyFill="1" applyBorder="1" applyAlignment="1"/>
    <xf numFmtId="0" fontId="25" fillId="0" borderId="28" xfId="0" applyFont="1" applyBorder="1" applyAlignment="1">
      <alignment horizontal="center"/>
    </xf>
    <xf numFmtId="41" fontId="24" fillId="0" borderId="35" xfId="41" applyFont="1" applyFill="1" applyBorder="1" applyAlignment="1">
      <alignment horizontal="center"/>
    </xf>
    <xf numFmtId="2" fontId="48" fillId="0" borderId="60" xfId="0" applyNumberFormat="1" applyFont="1" applyBorder="1" applyAlignment="1">
      <alignment horizontal="center" wrapText="1"/>
    </xf>
    <xf numFmtId="43" fontId="15" fillId="0" borderId="145" xfId="0" applyNumberFormat="1" applyFont="1" applyBorder="1"/>
    <xf numFmtId="2" fontId="60" fillId="27" borderId="33" xfId="0" applyNumberFormat="1" applyFont="1" applyFill="1" applyBorder="1" applyAlignment="1">
      <alignment horizontal="center" vertical="center" wrapText="1"/>
    </xf>
    <xf numFmtId="4" fontId="14" fillId="0" borderId="47" xfId="0" applyNumberFormat="1" applyFont="1" applyBorder="1" applyAlignment="1">
      <alignment wrapText="1"/>
    </xf>
    <xf numFmtId="43" fontId="15" fillId="0" borderId="50" xfId="0" applyNumberFormat="1" applyFont="1" applyBorder="1"/>
    <xf numFmtId="1" fontId="60" fillId="34" borderId="116" xfId="0" applyNumberFormat="1" applyFont="1" applyFill="1" applyBorder="1" applyAlignment="1">
      <alignment horizontal="center" wrapText="1"/>
    </xf>
    <xf numFmtId="43" fontId="14" fillId="0" borderId="36" xfId="246" applyFill="1" applyBorder="1"/>
    <xf numFmtId="0" fontId="25" fillId="65" borderId="36" xfId="0" applyFont="1" applyFill="1" applyBorder="1" applyAlignment="1">
      <alignment horizontal="center"/>
    </xf>
    <xf numFmtId="9" fontId="88" fillId="29" borderId="19" xfId="57" applyFont="1" applyFill="1" applyBorder="1" applyAlignment="1">
      <alignment horizontal="center"/>
    </xf>
    <xf numFmtId="174" fontId="88" fillId="0" borderId="0" xfId="210" applyNumberFormat="1" applyFont="1"/>
    <xf numFmtId="171" fontId="90" fillId="32" borderId="74" xfId="210" applyNumberFormat="1" applyFont="1" applyFill="1" applyBorder="1"/>
    <xf numFmtId="41" fontId="88" fillId="0" borderId="0" xfId="210" applyNumberFormat="1" applyFont="1"/>
    <xf numFmtId="4" fontId="125" fillId="0" borderId="12" xfId="226" applyNumberFormat="1" applyFont="1" applyBorder="1" applyAlignment="1">
      <alignment horizontal="center"/>
    </xf>
    <xf numFmtId="0" fontId="67" fillId="0" borderId="19" xfId="0" applyFont="1" applyBorder="1" applyAlignment="1">
      <alignment horizontal="center" vertical="center"/>
    </xf>
    <xf numFmtId="0" fontId="67" fillId="0" borderId="70" xfId="0" applyFont="1" applyBorder="1" applyAlignment="1">
      <alignment vertical="center"/>
    </xf>
    <xf numFmtId="0" fontId="70" fillId="34" borderId="78" xfId="226" applyFont="1" applyFill="1" applyBorder="1" applyAlignment="1">
      <alignment horizontal="center" vertical="center" wrapText="1"/>
    </xf>
    <xf numFmtId="0" fontId="67" fillId="0" borderId="17" xfId="0" applyFont="1" applyBorder="1" applyAlignment="1">
      <alignment horizontal="center" vertical="center"/>
    </xf>
    <xf numFmtId="0" fontId="67" fillId="0" borderId="41" xfId="0" applyFont="1" applyBorder="1" applyAlignment="1">
      <alignment vertical="center"/>
    </xf>
    <xf numFmtId="0" fontId="67" fillId="0" borderId="20" xfId="0" applyFont="1" applyBorder="1" applyAlignment="1">
      <alignment horizontal="center" vertical="center"/>
    </xf>
    <xf numFmtId="0" fontId="67" fillId="0" borderId="108" xfId="0" applyFont="1" applyBorder="1" applyAlignment="1">
      <alignment vertical="center"/>
    </xf>
    <xf numFmtId="4" fontId="93" fillId="0" borderId="41" xfId="0" applyNumberFormat="1" applyFont="1" applyBorder="1" applyAlignment="1">
      <alignment horizontal="center" vertical="center"/>
    </xf>
    <xf numFmtId="4" fontId="93" fillId="0" borderId="70" xfId="0" applyNumberFormat="1" applyFont="1" applyBorder="1" applyAlignment="1">
      <alignment horizontal="center" vertical="center"/>
    </xf>
    <xf numFmtId="4" fontId="93" fillId="0" borderId="108" xfId="0" applyNumberFormat="1" applyFont="1" applyBorder="1" applyAlignment="1">
      <alignment horizontal="center" vertical="center"/>
    </xf>
    <xf numFmtId="4" fontId="67" fillId="0" borderId="68" xfId="0" applyNumberFormat="1" applyFont="1" applyBorder="1" applyAlignment="1">
      <alignment horizontal="center"/>
    </xf>
    <xf numFmtId="4" fontId="67" fillId="0" borderId="156" xfId="0" applyNumberFormat="1" applyFont="1" applyBorder="1" applyAlignment="1">
      <alignment horizontal="center"/>
    </xf>
    <xf numFmtId="3" fontId="67" fillId="0" borderId="113" xfId="0" applyNumberFormat="1" applyFont="1" applyBorder="1" applyAlignment="1">
      <alignment horizontal="right" vertical="center"/>
    </xf>
    <xf numFmtId="3" fontId="67" fillId="0" borderId="114" xfId="0" applyNumberFormat="1" applyFont="1" applyBorder="1" applyAlignment="1">
      <alignment horizontal="right" vertical="center"/>
    </xf>
    <xf numFmtId="3" fontId="67" fillId="0" borderId="134" xfId="0" applyNumberFormat="1" applyFont="1" applyBorder="1" applyAlignment="1">
      <alignment horizontal="right" vertical="center"/>
    </xf>
    <xf numFmtId="0" fontId="98" fillId="44" borderId="80" xfId="226" applyFont="1" applyFill="1" applyBorder="1"/>
    <xf numFmtId="0" fontId="136" fillId="44" borderId="80" xfId="210" applyFont="1" applyFill="1" applyBorder="1" applyAlignment="1">
      <alignment horizontal="center"/>
    </xf>
    <xf numFmtId="4" fontId="136" fillId="46" borderId="80" xfId="210" applyNumberFormat="1" applyFont="1" applyFill="1" applyBorder="1" applyAlignment="1">
      <alignment horizontal="center"/>
    </xf>
    <xf numFmtId="3" fontId="136" fillId="44" borderId="80" xfId="210" applyNumberFormat="1" applyFont="1" applyFill="1" applyBorder="1" applyAlignment="1">
      <alignment horizontal="center"/>
    </xf>
    <xf numFmtId="167" fontId="136" fillId="44" borderId="81" xfId="227" applyNumberFormat="1" applyFont="1" applyFill="1" applyBorder="1"/>
    <xf numFmtId="3" fontId="73" fillId="0" borderId="78" xfId="226" applyNumberFormat="1" applyFont="1" applyBorder="1"/>
    <xf numFmtId="3" fontId="73" fillId="0" borderId="116" xfId="226" applyNumberFormat="1" applyFont="1" applyBorder="1"/>
    <xf numFmtId="3" fontId="73" fillId="0" borderId="100" xfId="226" applyNumberFormat="1" applyFont="1" applyBorder="1"/>
    <xf numFmtId="0" fontId="136" fillId="44" borderId="79" xfId="226" applyFont="1" applyFill="1" applyBorder="1" applyAlignment="1">
      <alignment horizontal="left"/>
    </xf>
    <xf numFmtId="43" fontId="15" fillId="66" borderId="46" xfId="0" applyNumberFormat="1" applyFont="1" applyFill="1" applyBorder="1"/>
    <xf numFmtId="43" fontId="15" fillId="66" borderId="145" xfId="0" applyNumberFormat="1" applyFont="1" applyFill="1" applyBorder="1"/>
    <xf numFmtId="43" fontId="15" fillId="30" borderId="0" xfId="0" applyNumberFormat="1" applyFont="1" applyFill="1"/>
    <xf numFmtId="0" fontId="67" fillId="0" borderId="19" xfId="0" applyFont="1" applyBorder="1" applyAlignment="1">
      <alignment horizontal="center"/>
    </xf>
    <xf numFmtId="0" fontId="19" fillId="0" borderId="19" xfId="0" applyFont="1" applyBorder="1" applyAlignment="1">
      <alignment horizontal="left"/>
    </xf>
    <xf numFmtId="43" fontId="15" fillId="0" borderId="19" xfId="0" applyNumberFormat="1" applyFont="1" applyBorder="1"/>
    <xf numFmtId="4" fontId="19" fillId="0" borderId="19" xfId="0" applyNumberFormat="1" applyFont="1" applyBorder="1" applyAlignment="1">
      <alignment horizontal="left"/>
    </xf>
    <xf numFmtId="0" fontId="67" fillId="0" borderId="70" xfId="0" applyFont="1" applyBorder="1"/>
    <xf numFmtId="10" fontId="14" fillId="0" borderId="127" xfId="57" applyNumberFormat="1" applyFont="1" applyBorder="1"/>
    <xf numFmtId="4" fontId="25" fillId="0" borderId="93" xfId="0" applyNumberFormat="1" applyFont="1" applyBorder="1" applyAlignment="1">
      <alignment horizontal="center"/>
    </xf>
    <xf numFmtId="43" fontId="14" fillId="48" borderId="146" xfId="0" applyNumberFormat="1" applyFont="1" applyFill="1" applyBorder="1"/>
    <xf numFmtId="43" fontId="14" fillId="48" borderId="145" xfId="0" applyNumberFormat="1" applyFont="1" applyFill="1" applyBorder="1"/>
    <xf numFmtId="43" fontId="14" fillId="62" borderId="50" xfId="0" applyNumberFormat="1" applyFont="1" applyFill="1" applyBorder="1"/>
    <xf numFmtId="43" fontId="14" fillId="62" borderId="145" xfId="0" applyNumberFormat="1" applyFont="1" applyFill="1" applyBorder="1"/>
    <xf numFmtId="43" fontId="14" fillId="62" borderId="46" xfId="0" applyNumberFormat="1" applyFont="1" applyFill="1" applyBorder="1"/>
    <xf numFmtId="0" fontId="48" fillId="62" borderId="60" xfId="0" applyFont="1" applyFill="1" applyBorder="1" applyAlignment="1">
      <alignment horizontal="center" wrapText="1"/>
    </xf>
    <xf numFmtId="0" fontId="48" fillId="65" borderId="60" xfId="0" applyFont="1" applyFill="1" applyBorder="1" applyAlignment="1">
      <alignment horizontal="center" wrapText="1"/>
    </xf>
    <xf numFmtId="0" fontId="25" fillId="43" borderId="36" xfId="0" applyFont="1" applyFill="1" applyBorder="1" applyAlignment="1">
      <alignment horizontal="center"/>
    </xf>
    <xf numFmtId="43" fontId="48" fillId="28" borderId="40" xfId="40" applyFont="1" applyFill="1" applyBorder="1" applyAlignment="1">
      <alignment vertical="center"/>
    </xf>
    <xf numFmtId="43" fontId="48" fillId="28" borderId="72" xfId="40" applyFont="1" applyFill="1" applyBorder="1" applyAlignment="1">
      <alignment vertical="center"/>
    </xf>
    <xf numFmtId="4" fontId="24" fillId="0" borderId="0" xfId="0" applyNumberFormat="1" applyFont="1"/>
    <xf numFmtId="0" fontId="23" fillId="43" borderId="139" xfId="40" applyNumberFormat="1" applyFont="1" applyFill="1" applyBorder="1" applyAlignment="1">
      <alignment horizontal="center" wrapText="1"/>
    </xf>
    <xf numFmtId="0" fontId="19" fillId="43" borderId="5" xfId="0" applyFont="1" applyFill="1" applyBorder="1" applyAlignment="1">
      <alignment horizontal="center"/>
    </xf>
    <xf numFmtId="0" fontId="19" fillId="43" borderId="76" xfId="0" applyFont="1" applyFill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64" xfId="0" applyFont="1" applyBorder="1" applyAlignment="1">
      <alignment horizontal="center"/>
    </xf>
    <xf numFmtId="0" fontId="19" fillId="0" borderId="111" xfId="0" applyFont="1" applyBorder="1" applyAlignment="1">
      <alignment horizontal="center"/>
    </xf>
    <xf numFmtId="0" fontId="19" fillId="0" borderId="121" xfId="0" applyFont="1" applyBorder="1" applyAlignment="1">
      <alignment horizontal="center"/>
    </xf>
    <xf numFmtId="0" fontId="19" fillId="0" borderId="65" xfId="0" applyFont="1" applyBorder="1" applyAlignment="1">
      <alignment horizontal="center"/>
    </xf>
    <xf numFmtId="0" fontId="14" fillId="0" borderId="49" xfId="0" applyFont="1" applyBorder="1" applyAlignment="1">
      <alignment horizontal="center"/>
    </xf>
    <xf numFmtId="43" fontId="48" fillId="28" borderId="35" xfId="40" applyFont="1" applyFill="1" applyBorder="1" applyAlignment="1">
      <alignment vertical="center"/>
    </xf>
    <xf numFmtId="43" fontId="25" fillId="43" borderId="65" xfId="289" applyFont="1" applyFill="1" applyBorder="1" applyAlignment="1">
      <alignment horizontal="left"/>
    </xf>
    <xf numFmtId="0" fontId="14" fillId="43" borderId="5" xfId="0" applyFont="1" applyFill="1" applyBorder="1" applyAlignment="1">
      <alignment horizontal="center"/>
    </xf>
    <xf numFmtId="0" fontId="14" fillId="43" borderId="49" xfId="0" applyFont="1" applyFill="1" applyBorder="1" applyAlignment="1">
      <alignment horizontal="center"/>
    </xf>
    <xf numFmtId="0" fontId="14" fillId="43" borderId="65" xfId="0" applyFont="1" applyFill="1" applyBorder="1" applyAlignment="1">
      <alignment horizontal="center"/>
    </xf>
    <xf numFmtId="0" fontId="60" fillId="27" borderId="111" xfId="0" applyFont="1" applyFill="1" applyBorder="1" applyAlignment="1">
      <alignment horizontal="center" vertical="center" wrapText="1"/>
    </xf>
    <xf numFmtId="0" fontId="60" fillId="27" borderId="96" xfId="0" applyFont="1" applyFill="1" applyBorder="1" applyAlignment="1">
      <alignment horizontal="center" vertical="center" wrapText="1"/>
    </xf>
    <xf numFmtId="0" fontId="60" fillId="27" borderId="73" xfId="0" applyFont="1" applyFill="1" applyBorder="1" applyAlignment="1">
      <alignment horizontal="center" vertical="center" wrapText="1"/>
    </xf>
    <xf numFmtId="0" fontId="60" fillId="27" borderId="40" xfId="0" applyFont="1" applyFill="1" applyBorder="1" applyAlignment="1">
      <alignment horizontal="center" vertical="center" wrapText="1"/>
    </xf>
    <xf numFmtId="0" fontId="60" fillId="27" borderId="29" xfId="0" applyFont="1" applyFill="1" applyBorder="1" applyAlignment="1">
      <alignment horizontal="center" vertical="center" wrapText="1"/>
    </xf>
    <xf numFmtId="0" fontId="60" fillId="27" borderId="151" xfId="0" applyFont="1" applyFill="1" applyBorder="1" applyAlignment="1">
      <alignment horizontal="center" vertical="center" wrapText="1"/>
    </xf>
    <xf numFmtId="0" fontId="60" fillId="27" borderId="31" xfId="0" applyFont="1" applyFill="1" applyBorder="1" applyAlignment="1">
      <alignment horizontal="center" vertical="center" wrapText="1"/>
    </xf>
    <xf numFmtId="0" fontId="60" fillId="27" borderId="106" xfId="0" applyFont="1" applyFill="1" applyBorder="1" applyAlignment="1">
      <alignment horizontal="center" vertical="center" wrapText="1"/>
    </xf>
    <xf numFmtId="0" fontId="26" fillId="0" borderId="76" xfId="0" applyFont="1" applyBorder="1" applyAlignment="1">
      <alignment horizontal="center"/>
    </xf>
    <xf numFmtId="0" fontId="0" fillId="0" borderId="91" xfId="0" applyBorder="1" applyAlignment="1">
      <alignment horizontal="center"/>
    </xf>
    <xf numFmtId="0" fontId="26" fillId="0" borderId="110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66" fillId="0" borderId="0" xfId="0" applyFont="1" applyAlignment="1">
      <alignment vertical="center"/>
    </xf>
    <xf numFmtId="0" fontId="16" fillId="0" borderId="0" xfId="0" applyFont="1" applyAlignment="1">
      <alignment horizontal="center"/>
    </xf>
    <xf numFmtId="0" fontId="49" fillId="26" borderId="113" xfId="0" applyFont="1" applyFill="1" applyBorder="1" applyAlignment="1">
      <alignment horizontal="center" wrapText="1"/>
    </xf>
    <xf numFmtId="0" fontId="49" fillId="26" borderId="114" xfId="0" applyFont="1" applyFill="1" applyBorder="1" applyAlignment="1">
      <alignment horizontal="center" wrapText="1"/>
    </xf>
    <xf numFmtId="0" fontId="49" fillId="26" borderId="19" xfId="0" applyFont="1" applyFill="1" applyBorder="1" applyAlignment="1">
      <alignment horizontal="center" vertical="center"/>
    </xf>
    <xf numFmtId="0" fontId="49" fillId="26" borderId="19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6" fillId="0" borderId="12" xfId="0" applyFont="1" applyBorder="1" applyAlignment="1">
      <alignment horizontal="center" vertical="center"/>
    </xf>
    <xf numFmtId="164" fontId="16" fillId="0" borderId="25" xfId="44" applyFont="1" applyFill="1" applyBorder="1" applyAlignment="1">
      <alignment horizontal="center" vertical="center" wrapText="1"/>
    </xf>
    <xf numFmtId="164" fontId="16" fillId="0" borderId="41" xfId="44" applyFont="1" applyFill="1" applyBorder="1" applyAlignment="1">
      <alignment horizontal="center" vertical="center" wrapText="1"/>
    </xf>
    <xf numFmtId="164" fontId="16" fillId="0" borderId="26" xfId="44" applyFont="1" applyFill="1" applyBorder="1" applyAlignment="1">
      <alignment horizontal="center" vertical="center" wrapText="1"/>
    </xf>
    <xf numFmtId="164" fontId="16" fillId="0" borderId="70" xfId="44" applyFont="1" applyFill="1" applyBorder="1" applyAlignment="1">
      <alignment horizontal="center" vertical="center" wrapText="1"/>
    </xf>
    <xf numFmtId="164" fontId="16" fillId="0" borderId="107" xfId="44" applyFont="1" applyFill="1" applyBorder="1" applyAlignment="1">
      <alignment horizontal="center" vertical="center" wrapText="1"/>
    </xf>
    <xf numFmtId="164" fontId="16" fillId="0" borderId="108" xfId="44" applyFont="1" applyFill="1" applyBorder="1" applyAlignment="1">
      <alignment horizontal="center" vertical="center" wrapText="1"/>
    </xf>
    <xf numFmtId="0" fontId="49" fillId="26" borderId="22" xfId="0" applyFont="1" applyFill="1" applyBorder="1" applyAlignment="1">
      <alignment horizontal="center" wrapText="1"/>
    </xf>
    <xf numFmtId="164" fontId="49" fillId="26" borderId="19" xfId="0" applyNumberFormat="1" applyFont="1" applyFill="1" applyBorder="1" applyAlignment="1">
      <alignment horizontal="center" vertical="center" wrapText="1"/>
    </xf>
    <xf numFmtId="0" fontId="24" fillId="0" borderId="29" xfId="0" applyFont="1" applyBorder="1" applyAlignment="1">
      <alignment horizontal="left" vertical="center" wrapText="1"/>
    </xf>
    <xf numFmtId="0" fontId="24" fillId="0" borderId="30" xfId="0" applyFont="1" applyBorder="1" applyAlignment="1">
      <alignment horizontal="left" vertical="center" wrapText="1"/>
    </xf>
    <xf numFmtId="0" fontId="24" fillId="0" borderId="37" xfId="0" applyFont="1" applyBorder="1" applyAlignment="1">
      <alignment horizontal="left" vertical="center" wrapText="1"/>
    </xf>
    <xf numFmtId="0" fontId="49" fillId="26" borderId="42" xfId="0" applyFont="1" applyFill="1" applyBorder="1" applyAlignment="1">
      <alignment horizontal="center" vertical="center" wrapText="1"/>
    </xf>
    <xf numFmtId="0" fontId="49" fillId="26" borderId="39" xfId="0" applyFont="1" applyFill="1" applyBorder="1" applyAlignment="1">
      <alignment horizontal="center" vertical="center" wrapText="1"/>
    </xf>
    <xf numFmtId="0" fontId="16" fillId="0" borderId="0" xfId="173" applyFont="1" applyAlignment="1">
      <alignment horizontal="center"/>
    </xf>
    <xf numFmtId="0" fontId="26" fillId="0" borderId="0" xfId="173" applyFont="1" applyAlignment="1">
      <alignment horizontal="center"/>
    </xf>
    <xf numFmtId="0" fontId="49" fillId="26" borderId="19" xfId="173" applyFont="1" applyFill="1" applyBorder="1" applyAlignment="1">
      <alignment horizontal="center" vertical="center" wrapText="1"/>
    </xf>
    <xf numFmtId="0" fontId="49" fillId="26" borderId="42" xfId="173" applyFont="1" applyFill="1" applyBorder="1" applyAlignment="1">
      <alignment horizontal="center" vertical="center" wrapText="1"/>
    </xf>
    <xf numFmtId="0" fontId="49" fillId="26" borderId="39" xfId="173" applyFont="1" applyFill="1" applyBorder="1" applyAlignment="1">
      <alignment horizontal="center" vertical="center" wrapText="1"/>
    </xf>
    <xf numFmtId="0" fontId="49" fillId="26" borderId="19" xfId="173" applyFont="1" applyFill="1" applyBorder="1" applyAlignment="1">
      <alignment horizontal="center" vertical="center"/>
    </xf>
    <xf numFmtId="0" fontId="15" fillId="0" borderId="38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82" xfId="0" applyFont="1" applyBorder="1" applyAlignment="1">
      <alignment horizontal="center" vertical="center" wrapText="1"/>
    </xf>
    <xf numFmtId="0" fontId="15" fillId="0" borderId="71" xfId="0" applyFont="1" applyBorder="1" applyAlignment="1">
      <alignment horizontal="center" vertical="center" wrapText="1"/>
    </xf>
    <xf numFmtId="0" fontId="15" fillId="0" borderId="78" xfId="0" applyFont="1" applyBorder="1" applyAlignment="1">
      <alignment horizontal="center" vertical="center" wrapText="1"/>
    </xf>
    <xf numFmtId="0" fontId="15" fillId="0" borderId="116" xfId="0" applyFont="1" applyBorder="1" applyAlignment="1">
      <alignment horizontal="center" vertical="center" wrapText="1"/>
    </xf>
    <xf numFmtId="0" fontId="15" fillId="0" borderId="100" xfId="0" applyFont="1" applyBorder="1" applyAlignment="1">
      <alignment horizontal="center" vertical="center" wrapText="1"/>
    </xf>
    <xf numFmtId="0" fontId="64" fillId="27" borderId="52" xfId="0" applyFont="1" applyFill="1" applyBorder="1" applyAlignment="1">
      <alignment horizontal="center" wrapText="1"/>
    </xf>
    <xf numFmtId="0" fontId="64" fillId="27" borderId="54" xfId="0" applyFont="1" applyFill="1" applyBorder="1" applyAlignment="1">
      <alignment horizontal="center" wrapText="1"/>
    </xf>
    <xf numFmtId="170" fontId="15" fillId="0" borderId="79" xfId="0" applyNumberFormat="1" applyFont="1" applyBorder="1" applyAlignment="1">
      <alignment horizontal="center" vertical="center" wrapText="1"/>
    </xf>
    <xf numFmtId="170" fontId="15" fillId="0" borderId="80" xfId="0" applyNumberFormat="1" applyFont="1" applyBorder="1" applyAlignment="1">
      <alignment horizontal="center" vertical="center" wrapText="1"/>
    </xf>
    <xf numFmtId="170" fontId="15" fillId="0" borderId="81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61" fillId="27" borderId="25" xfId="0" applyFont="1" applyFill="1" applyBorder="1" applyAlignment="1">
      <alignment horizontal="center" wrapText="1"/>
    </xf>
    <xf numFmtId="0" fontId="61" fillId="27" borderId="26" xfId="0" applyFont="1" applyFill="1" applyBorder="1" applyAlignment="1">
      <alignment horizontal="center" wrapText="1"/>
    </xf>
    <xf numFmtId="0" fontId="61" fillId="27" borderId="113" xfId="0" applyFont="1" applyFill="1" applyBorder="1" applyAlignment="1">
      <alignment horizontal="center" wrapText="1"/>
    </xf>
    <xf numFmtId="0" fontId="61" fillId="27" borderId="114" xfId="0" applyFont="1" applyFill="1" applyBorder="1" applyAlignment="1">
      <alignment horizontal="center" wrapText="1"/>
    </xf>
    <xf numFmtId="0" fontId="64" fillId="27" borderId="43" xfId="0" applyFont="1" applyFill="1" applyBorder="1" applyAlignment="1">
      <alignment horizontal="center" wrapText="1"/>
    </xf>
    <xf numFmtId="0" fontId="64" fillId="27" borderId="51" xfId="0" applyFont="1" applyFill="1" applyBorder="1" applyAlignment="1">
      <alignment horizontal="center" wrapText="1"/>
    </xf>
    <xf numFmtId="4" fontId="22" fillId="0" borderId="0" xfId="0" applyNumberFormat="1" applyFont="1" applyAlignment="1">
      <alignment horizontal="center" wrapText="1"/>
    </xf>
    <xf numFmtId="0" fontId="15" fillId="0" borderId="30" xfId="0" applyFont="1" applyBorder="1" applyAlignment="1">
      <alignment horizontal="right"/>
    </xf>
    <xf numFmtId="0" fontId="15" fillId="0" borderId="37" xfId="0" applyFont="1" applyBorder="1" applyAlignment="1">
      <alignment horizontal="right"/>
    </xf>
    <xf numFmtId="0" fontId="61" fillId="27" borderId="80" xfId="0" applyFont="1" applyFill="1" applyBorder="1" applyAlignment="1">
      <alignment horizontal="center" vertical="center" wrapText="1"/>
    </xf>
    <xf numFmtId="0" fontId="61" fillId="27" borderId="81" xfId="0" applyFont="1" applyFill="1" applyBorder="1" applyAlignment="1">
      <alignment horizontal="center" vertical="center" wrapText="1"/>
    </xf>
    <xf numFmtId="0" fontId="15" fillId="0" borderId="12" xfId="0" applyFont="1" applyBorder="1" applyAlignment="1">
      <alignment horizontal="center"/>
    </xf>
    <xf numFmtId="0" fontId="14" fillId="0" borderId="19" xfId="0" applyFont="1" applyBorder="1" applyAlignment="1">
      <alignment horizontal="right"/>
    </xf>
    <xf numFmtId="0" fontId="14" fillId="0" borderId="20" xfId="0" applyFont="1" applyBorder="1" applyAlignment="1">
      <alignment horizontal="right"/>
    </xf>
    <xf numFmtId="0" fontId="61" fillId="27" borderId="75" xfId="0" applyFont="1" applyFill="1" applyBorder="1" applyAlignment="1">
      <alignment horizontal="center" vertical="center" wrapText="1"/>
    </xf>
    <xf numFmtId="0" fontId="61" fillId="27" borderId="110" xfId="0" applyFont="1" applyFill="1" applyBorder="1" applyAlignment="1">
      <alignment horizontal="center" vertical="center" wrapText="1"/>
    </xf>
    <xf numFmtId="0" fontId="61" fillId="27" borderId="111" xfId="0" applyFont="1" applyFill="1" applyBorder="1" applyAlignment="1">
      <alignment horizontal="center" vertical="center" wrapText="1"/>
    </xf>
    <xf numFmtId="0" fontId="61" fillId="27" borderId="10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70" fillId="34" borderId="79" xfId="226" applyFont="1" applyFill="1" applyBorder="1" applyAlignment="1">
      <alignment horizontal="center"/>
    </xf>
    <xf numFmtId="0" fontId="70" fillId="34" borderId="81" xfId="226" applyFont="1" applyFill="1" applyBorder="1" applyAlignment="1">
      <alignment horizontal="center"/>
    </xf>
    <xf numFmtId="0" fontId="79" fillId="32" borderId="79" xfId="210" applyFont="1" applyFill="1" applyBorder="1" applyAlignment="1">
      <alignment horizontal="left"/>
    </xf>
    <xf numFmtId="0" fontId="79" fillId="32" borderId="80" xfId="210" applyFont="1" applyFill="1" applyBorder="1" applyAlignment="1">
      <alignment horizontal="left"/>
    </xf>
    <xf numFmtId="0" fontId="79" fillId="32" borderId="81" xfId="210" applyFont="1" applyFill="1" applyBorder="1" applyAlignment="1">
      <alignment horizontal="left"/>
    </xf>
    <xf numFmtId="0" fontId="72" fillId="34" borderId="79" xfId="226" applyFont="1" applyFill="1" applyBorder="1" applyAlignment="1">
      <alignment horizontal="center"/>
    </xf>
    <xf numFmtId="0" fontId="72" fillId="34" borderId="81" xfId="226" applyFont="1" applyFill="1" applyBorder="1" applyAlignment="1">
      <alignment horizontal="center"/>
    </xf>
    <xf numFmtId="0" fontId="70" fillId="34" borderId="29" xfId="226" applyFont="1" applyFill="1" applyBorder="1" applyAlignment="1">
      <alignment horizontal="center" vertical="center" wrapText="1"/>
    </xf>
    <xf numFmtId="0" fontId="70" fillId="34" borderId="11" xfId="226" applyFont="1" applyFill="1" applyBorder="1" applyAlignment="1">
      <alignment horizontal="center" vertical="center" wrapText="1"/>
    </xf>
    <xf numFmtId="0" fontId="70" fillId="34" borderId="13" xfId="226" applyFont="1" applyFill="1" applyBorder="1" applyAlignment="1">
      <alignment horizontal="center" vertical="center" wrapText="1"/>
    </xf>
    <xf numFmtId="0" fontId="70" fillId="34" borderId="80" xfId="226" applyFont="1" applyFill="1" applyBorder="1" applyAlignment="1">
      <alignment horizontal="center"/>
    </xf>
    <xf numFmtId="167" fontId="74" fillId="0" borderId="24" xfId="227" applyNumberFormat="1" applyFont="1" applyBorder="1" applyAlignment="1">
      <alignment vertical="center"/>
    </xf>
    <xf numFmtId="0" fontId="0" fillId="0" borderId="24" xfId="0" applyBorder="1" applyAlignment="1">
      <alignment vertical="center"/>
    </xf>
    <xf numFmtId="0" fontId="70" fillId="34" borderId="79" xfId="226" applyFont="1" applyFill="1" applyBorder="1" applyAlignment="1">
      <alignment horizontal="center" vertical="center"/>
    </xf>
    <xf numFmtId="0" fontId="70" fillId="34" borderId="80" xfId="226" applyFont="1" applyFill="1" applyBorder="1" applyAlignment="1">
      <alignment horizontal="center" vertical="center"/>
    </xf>
    <xf numFmtId="0" fontId="70" fillId="34" borderId="81" xfId="226" applyFont="1" applyFill="1" applyBorder="1" applyAlignment="1">
      <alignment horizontal="center" vertical="center"/>
    </xf>
    <xf numFmtId="0" fontId="72" fillId="34" borderId="79" xfId="226" applyFont="1" applyFill="1" applyBorder="1" applyAlignment="1">
      <alignment horizontal="center" vertical="center"/>
    </xf>
    <xf numFmtId="0" fontId="72" fillId="34" borderId="81" xfId="226" applyFont="1" applyFill="1" applyBorder="1" applyAlignment="1">
      <alignment horizontal="center" vertical="center"/>
    </xf>
    <xf numFmtId="0" fontId="79" fillId="32" borderId="81" xfId="210" applyFont="1" applyFill="1" applyBorder="1" applyAlignment="1">
      <alignment horizontal="left" vertical="center"/>
    </xf>
    <xf numFmtId="0" fontId="79" fillId="32" borderId="74" xfId="210" applyFont="1" applyFill="1" applyBorder="1" applyAlignment="1">
      <alignment horizontal="left" vertical="center"/>
    </xf>
    <xf numFmtId="3" fontId="7" fillId="0" borderId="30" xfId="226" applyNumberFormat="1" applyBorder="1" applyAlignment="1">
      <alignment horizontal="center" vertical="center"/>
    </xf>
    <xf numFmtId="3" fontId="7" fillId="0" borderId="0" xfId="226" applyNumberFormat="1" applyAlignment="1">
      <alignment horizontal="center" vertical="center"/>
    </xf>
    <xf numFmtId="3" fontId="7" fillId="0" borderId="104" xfId="226" applyNumberFormat="1" applyBorder="1" applyAlignment="1">
      <alignment horizontal="center" vertical="center"/>
    </xf>
    <xf numFmtId="3" fontId="7" fillId="0" borderId="37" xfId="226" applyNumberFormat="1" applyBorder="1" applyAlignment="1">
      <alignment horizontal="center" vertical="center"/>
    </xf>
    <xf numFmtId="3" fontId="7" fillId="0" borderId="24" xfId="226" applyNumberFormat="1" applyBorder="1" applyAlignment="1">
      <alignment horizontal="center" vertical="center"/>
    </xf>
    <xf numFmtId="3" fontId="7" fillId="0" borderId="153" xfId="226" applyNumberFormat="1" applyBorder="1" applyAlignment="1">
      <alignment horizontal="center" vertical="center"/>
    </xf>
    <xf numFmtId="3" fontId="73" fillId="56" borderId="29" xfId="0" applyNumberFormat="1" applyFont="1" applyFill="1" applyBorder="1" applyAlignment="1">
      <alignment horizontal="right" vertical="center"/>
    </xf>
    <xf numFmtId="3" fontId="73" fillId="56" borderId="11" xfId="0" applyNumberFormat="1" applyFont="1" applyFill="1" applyBorder="1" applyAlignment="1">
      <alignment horizontal="right" vertical="center"/>
    </xf>
    <xf numFmtId="3" fontId="73" fillId="56" borderId="151" xfId="0" applyNumberFormat="1" applyFont="1" applyFill="1" applyBorder="1" applyAlignment="1">
      <alignment horizontal="right" vertical="center"/>
    </xf>
    <xf numFmtId="9" fontId="7" fillId="0" borderId="37" xfId="226" applyNumberFormat="1" applyBorder="1" applyAlignment="1">
      <alignment horizontal="right" vertical="center"/>
    </xf>
    <xf numFmtId="9" fontId="7" fillId="0" borderId="24" xfId="226" applyNumberFormat="1" applyBorder="1" applyAlignment="1">
      <alignment horizontal="right" vertical="center"/>
    </xf>
    <xf numFmtId="9" fontId="7" fillId="0" borderId="153" xfId="226" applyNumberFormat="1" applyBorder="1" applyAlignment="1">
      <alignment horizontal="right" vertical="center"/>
    </xf>
    <xf numFmtId="3" fontId="73" fillId="56" borderId="118" xfId="0" applyNumberFormat="1" applyFont="1" applyFill="1" applyBorder="1" applyAlignment="1">
      <alignment horizontal="right" vertical="center"/>
    </xf>
    <xf numFmtId="0" fontId="72" fillId="34" borderId="29" xfId="226" applyFont="1" applyFill="1" applyBorder="1" applyAlignment="1">
      <alignment horizontal="center"/>
    </xf>
    <xf numFmtId="0" fontId="72" fillId="34" borderId="37" xfId="226" applyFont="1" applyFill="1" applyBorder="1" applyAlignment="1">
      <alignment horizontal="center"/>
    </xf>
    <xf numFmtId="0" fontId="24" fillId="0" borderId="0" xfId="236" applyFont="1" applyAlignment="1">
      <alignment horizontal="center" vertical="center" wrapText="1"/>
    </xf>
    <xf numFmtId="0" fontId="24" fillId="24" borderId="0" xfId="236" applyFont="1" applyFill="1" applyAlignment="1">
      <alignment horizontal="center" vertical="center" wrapText="1"/>
    </xf>
    <xf numFmtId="0" fontId="26" fillId="24" borderId="0" xfId="236" applyFont="1" applyFill="1" applyAlignment="1">
      <alignment horizontal="center"/>
    </xf>
    <xf numFmtId="4" fontId="24" fillId="0" borderId="0" xfId="0" applyNumberFormat="1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4" fontId="53" fillId="26" borderId="92" xfId="0" applyNumberFormat="1" applyFont="1" applyFill="1" applyBorder="1" applyAlignment="1">
      <alignment horizontal="center" vertical="center" wrapText="1"/>
    </xf>
    <xf numFmtId="4" fontId="53" fillId="26" borderId="82" xfId="0" applyNumberFormat="1" applyFont="1" applyFill="1" applyBorder="1" applyAlignment="1">
      <alignment horizontal="center" vertical="center" wrapText="1"/>
    </xf>
    <xf numFmtId="4" fontId="53" fillId="26" borderId="45" xfId="0" applyNumberFormat="1" applyFont="1" applyFill="1" applyBorder="1" applyAlignment="1">
      <alignment horizontal="center" vertical="center" wrapText="1"/>
    </xf>
    <xf numFmtId="4" fontId="53" fillId="26" borderId="103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4" fontId="53" fillId="26" borderId="44" xfId="0" applyNumberFormat="1" applyFont="1" applyFill="1" applyBorder="1" applyAlignment="1">
      <alignment horizontal="center" vertical="center" wrapText="1"/>
    </xf>
    <xf numFmtId="4" fontId="53" fillId="26" borderId="112" xfId="0" applyNumberFormat="1" applyFont="1" applyFill="1" applyBorder="1" applyAlignment="1">
      <alignment horizontal="center" vertical="center" wrapText="1"/>
    </xf>
    <xf numFmtId="0" fontId="24" fillId="24" borderId="12" xfId="0" applyFont="1" applyFill="1" applyBorder="1" applyAlignment="1">
      <alignment horizontal="center"/>
    </xf>
    <xf numFmtId="4" fontId="53" fillId="63" borderId="32" xfId="0" applyNumberFormat="1" applyFont="1" applyFill="1" applyBorder="1" applyAlignment="1">
      <alignment horizontal="center" vertical="center" wrapText="1"/>
    </xf>
    <xf numFmtId="4" fontId="53" fillId="63" borderId="33" xfId="0" applyNumberFormat="1" applyFont="1" applyFill="1" applyBorder="1" applyAlignment="1">
      <alignment horizontal="center" vertical="center" wrapText="1"/>
    </xf>
    <xf numFmtId="0" fontId="90" fillId="0" borderId="0" xfId="210" applyFont="1" applyAlignment="1">
      <alignment horizontal="center" vertical="center"/>
    </xf>
    <xf numFmtId="0" fontId="88" fillId="0" borderId="0" xfId="210" applyFont="1" applyAlignment="1">
      <alignment horizontal="center" vertical="center"/>
    </xf>
    <xf numFmtId="0" fontId="90" fillId="0" borderId="0" xfId="210" applyFont="1" applyAlignment="1">
      <alignment horizontal="center"/>
    </xf>
    <xf numFmtId="0" fontId="15" fillId="24" borderId="0" xfId="226" applyFont="1" applyFill="1" applyAlignment="1">
      <alignment horizontal="center"/>
    </xf>
    <xf numFmtId="10" fontId="88" fillId="29" borderId="68" xfId="218" applyNumberFormat="1" applyFont="1" applyFill="1" applyBorder="1" applyAlignment="1">
      <alignment horizontal="center"/>
    </xf>
    <xf numFmtId="10" fontId="88" fillId="29" borderId="22" xfId="218" applyNumberFormat="1" applyFont="1" applyFill="1" applyBorder="1" applyAlignment="1">
      <alignment horizontal="center"/>
    </xf>
    <xf numFmtId="0" fontId="24" fillId="45" borderId="0" xfId="0" applyFont="1" applyFill="1" applyAlignment="1" applyProtection="1">
      <alignment horizontal="center"/>
      <protection locked="0"/>
    </xf>
    <xf numFmtId="0" fontId="24" fillId="0" borderId="0" xfId="0" applyFont="1" applyAlignment="1" applyProtection="1">
      <alignment horizontal="center"/>
      <protection locked="0"/>
    </xf>
    <xf numFmtId="0" fontId="15" fillId="24" borderId="12" xfId="226" applyFont="1" applyFill="1" applyBorder="1" applyAlignment="1">
      <alignment horizontal="center"/>
    </xf>
    <xf numFmtId="0" fontId="15" fillId="24" borderId="0" xfId="217" applyFont="1" applyFill="1" applyAlignment="1">
      <alignment horizontal="center"/>
    </xf>
    <xf numFmtId="0" fontId="70" fillId="34" borderId="0" xfId="212" applyFont="1" applyFill="1" applyAlignment="1">
      <alignment horizontal="center"/>
    </xf>
    <xf numFmtId="3" fontId="73" fillId="35" borderId="0" xfId="212" applyNumberFormat="1" applyFont="1" applyFill="1" applyAlignment="1">
      <alignment horizontal="right" vertical="center"/>
    </xf>
    <xf numFmtId="167" fontId="73" fillId="35" borderId="0" xfId="213" applyNumberFormat="1" applyFont="1" applyFill="1" applyBorder="1" applyAlignment="1">
      <alignment horizontal="right" vertical="center"/>
    </xf>
    <xf numFmtId="15" fontId="85" fillId="0" borderId="128" xfId="229" applyNumberFormat="1" applyFont="1" applyBorder="1" applyAlignment="1">
      <alignment horizontal="left"/>
    </xf>
    <xf numFmtId="15" fontId="85" fillId="0" borderId="0" xfId="229" applyNumberFormat="1" applyFont="1" applyAlignment="1">
      <alignment horizontal="left"/>
    </xf>
    <xf numFmtId="15" fontId="85" fillId="0" borderId="130" xfId="229" applyNumberFormat="1" applyFont="1" applyBorder="1" applyAlignment="1">
      <alignment horizontal="left"/>
    </xf>
    <xf numFmtId="15" fontId="85" fillId="0" borderId="131" xfId="229" applyNumberFormat="1" applyFont="1" applyBorder="1" applyAlignment="1">
      <alignment horizontal="left"/>
    </xf>
    <xf numFmtId="0" fontId="16" fillId="24" borderId="79" xfId="221" applyFont="1" applyFill="1" applyBorder="1" applyAlignment="1">
      <alignment horizontal="center" vertical="center"/>
    </xf>
    <xf numFmtId="0" fontId="16" fillId="24" borderId="80" xfId="221" applyFont="1" applyFill="1" applyBorder="1" applyAlignment="1">
      <alignment horizontal="center" vertical="center"/>
    </xf>
    <xf numFmtId="0" fontId="16" fillId="24" borderId="81" xfId="221" applyFont="1" applyFill="1" applyBorder="1" applyAlignment="1">
      <alignment horizontal="center" vertical="center"/>
    </xf>
    <xf numFmtId="0" fontId="16" fillId="24" borderId="79" xfId="239" applyFont="1" applyFill="1" applyBorder="1" applyAlignment="1">
      <alignment horizontal="center" vertical="center"/>
    </xf>
    <xf numFmtId="0" fontId="16" fillId="24" borderId="80" xfId="239" applyFont="1" applyFill="1" applyBorder="1" applyAlignment="1">
      <alignment horizontal="center" vertical="center"/>
    </xf>
    <xf numFmtId="0" fontId="16" fillId="24" borderId="81" xfId="239" applyFont="1" applyFill="1" applyBorder="1" applyAlignment="1">
      <alignment horizontal="center" vertical="center"/>
    </xf>
    <xf numFmtId="0" fontId="0" fillId="0" borderId="82" xfId="0" applyFill="1" applyBorder="1"/>
    <xf numFmtId="0" fontId="0" fillId="0" borderId="36" xfId="0" applyFill="1" applyBorder="1"/>
    <xf numFmtId="0" fontId="16" fillId="0" borderId="26" xfId="0" applyFont="1" applyBorder="1" applyAlignment="1">
      <alignment vertical="center"/>
    </xf>
    <xf numFmtId="164" fontId="16" fillId="0" borderId="26" xfId="44" applyFont="1" applyFill="1" applyBorder="1" applyAlignment="1">
      <alignment horizontal="center" vertical="center"/>
    </xf>
    <xf numFmtId="164" fontId="16" fillId="0" borderId="23" xfId="44" applyFont="1" applyFill="1" applyBorder="1" applyAlignment="1">
      <alignment horizontal="center" vertical="center"/>
    </xf>
    <xf numFmtId="164" fontId="16" fillId="0" borderId="70" xfId="44" applyFont="1" applyFill="1" applyBorder="1" applyAlignment="1">
      <alignment horizontal="center" vertical="center"/>
    </xf>
    <xf numFmtId="43" fontId="16" fillId="24" borderId="26" xfId="40" applyFont="1" applyFill="1" applyBorder="1" applyAlignment="1">
      <alignment vertical="center"/>
    </xf>
  </cellXfs>
  <cellStyles count="364">
    <cellStyle name="20% - Énfasis1" xfId="1" builtinId="30" customBuiltin="1"/>
    <cellStyle name="20% - Énfasis1 2" xfId="74" xr:uid="{00000000-0005-0000-0000-000001000000}"/>
    <cellStyle name="20% - Énfasis1 3" xfId="75" xr:uid="{00000000-0005-0000-0000-000002000000}"/>
    <cellStyle name="20% - Énfasis1 4" xfId="76" xr:uid="{00000000-0005-0000-0000-000003000000}"/>
    <cellStyle name="20% - Énfasis2" xfId="2" builtinId="34" customBuiltin="1"/>
    <cellStyle name="20% - Énfasis2 2" xfId="77" xr:uid="{00000000-0005-0000-0000-000005000000}"/>
    <cellStyle name="20% - Énfasis2 3" xfId="78" xr:uid="{00000000-0005-0000-0000-000006000000}"/>
    <cellStyle name="20% - Énfasis2 4" xfId="79" xr:uid="{00000000-0005-0000-0000-000007000000}"/>
    <cellStyle name="20% - Énfasis3" xfId="3" builtinId="38" customBuiltin="1"/>
    <cellStyle name="20% - Énfasis3 2" xfId="80" xr:uid="{00000000-0005-0000-0000-000009000000}"/>
    <cellStyle name="20% - Énfasis3 3" xfId="81" xr:uid="{00000000-0005-0000-0000-00000A000000}"/>
    <cellStyle name="20% - Énfasis3 4" xfId="82" xr:uid="{00000000-0005-0000-0000-00000B000000}"/>
    <cellStyle name="20% - Énfasis4" xfId="4" builtinId="42" customBuiltin="1"/>
    <cellStyle name="20% - Énfasis4 2" xfId="83" xr:uid="{00000000-0005-0000-0000-00000D000000}"/>
    <cellStyle name="20% - Énfasis4 3" xfId="84" xr:uid="{00000000-0005-0000-0000-00000E000000}"/>
    <cellStyle name="20% - Énfasis4 4" xfId="85" xr:uid="{00000000-0005-0000-0000-00000F000000}"/>
    <cellStyle name="20% - Énfasis5" xfId="5" builtinId="46" customBuiltin="1"/>
    <cellStyle name="20% - Énfasis5 2" xfId="86" xr:uid="{00000000-0005-0000-0000-000011000000}"/>
    <cellStyle name="20% - Énfasis5 3" xfId="87" xr:uid="{00000000-0005-0000-0000-000012000000}"/>
    <cellStyle name="20% - Énfasis5 4" xfId="88" xr:uid="{00000000-0005-0000-0000-000013000000}"/>
    <cellStyle name="20% - Énfasis6" xfId="6" builtinId="50" customBuiltin="1"/>
    <cellStyle name="20% - Énfasis6 2" xfId="89" xr:uid="{00000000-0005-0000-0000-000015000000}"/>
    <cellStyle name="20% - Énfasis6 3" xfId="90" xr:uid="{00000000-0005-0000-0000-000016000000}"/>
    <cellStyle name="20% - Énfasis6 4" xfId="91" xr:uid="{00000000-0005-0000-0000-000017000000}"/>
    <cellStyle name="40% - Énfasis1" xfId="7" builtinId="31" customBuiltin="1"/>
    <cellStyle name="40% - Énfasis1 2" xfId="92" xr:uid="{00000000-0005-0000-0000-000019000000}"/>
    <cellStyle name="40% - Énfasis1 3" xfId="93" xr:uid="{00000000-0005-0000-0000-00001A000000}"/>
    <cellStyle name="40% - Énfasis1 4" xfId="94" xr:uid="{00000000-0005-0000-0000-00001B000000}"/>
    <cellStyle name="40% - Énfasis2" xfId="8" builtinId="35" customBuiltin="1"/>
    <cellStyle name="40% - Énfasis2 2" xfId="95" xr:uid="{00000000-0005-0000-0000-00001D000000}"/>
    <cellStyle name="40% - Énfasis2 3" xfId="96" xr:uid="{00000000-0005-0000-0000-00001E000000}"/>
    <cellStyle name="40% - Énfasis2 4" xfId="97" xr:uid="{00000000-0005-0000-0000-00001F000000}"/>
    <cellStyle name="40% - Énfasis3" xfId="9" builtinId="39" customBuiltin="1"/>
    <cellStyle name="40% - Énfasis3 2" xfId="98" xr:uid="{00000000-0005-0000-0000-000021000000}"/>
    <cellStyle name="40% - Énfasis3 3" xfId="99" xr:uid="{00000000-0005-0000-0000-000022000000}"/>
    <cellStyle name="40% - Énfasis3 4" xfId="100" xr:uid="{00000000-0005-0000-0000-000023000000}"/>
    <cellStyle name="40% - Énfasis4" xfId="10" builtinId="43" customBuiltin="1"/>
    <cellStyle name="40% - Énfasis4 2" xfId="101" xr:uid="{00000000-0005-0000-0000-000025000000}"/>
    <cellStyle name="40% - Énfasis4 3" xfId="102" xr:uid="{00000000-0005-0000-0000-000026000000}"/>
    <cellStyle name="40% - Énfasis4 4" xfId="103" xr:uid="{00000000-0005-0000-0000-000027000000}"/>
    <cellStyle name="40% - Énfasis5" xfId="11" builtinId="47" customBuiltin="1"/>
    <cellStyle name="40% - Énfasis5 2" xfId="104" xr:uid="{00000000-0005-0000-0000-000029000000}"/>
    <cellStyle name="40% - Énfasis5 3" xfId="105" xr:uid="{00000000-0005-0000-0000-00002A000000}"/>
    <cellStyle name="40% - Énfasis5 4" xfId="106" xr:uid="{00000000-0005-0000-0000-00002B000000}"/>
    <cellStyle name="40% - Énfasis6" xfId="12" builtinId="51" customBuiltin="1"/>
    <cellStyle name="40% - Énfasis6 2" xfId="107" xr:uid="{00000000-0005-0000-0000-00002D000000}"/>
    <cellStyle name="40% - Énfasis6 3" xfId="108" xr:uid="{00000000-0005-0000-0000-00002E000000}"/>
    <cellStyle name="40% - Énfasis6 4" xfId="109" xr:uid="{00000000-0005-0000-0000-00002F000000}"/>
    <cellStyle name="60% - Énfasis1" xfId="13" builtinId="32" customBuiltin="1"/>
    <cellStyle name="60% - Énfasis1 2" xfId="110" xr:uid="{00000000-0005-0000-0000-000031000000}"/>
    <cellStyle name="60% - Énfasis1 3" xfId="111" xr:uid="{00000000-0005-0000-0000-000032000000}"/>
    <cellStyle name="60% - Énfasis1 4" xfId="112" xr:uid="{00000000-0005-0000-0000-000033000000}"/>
    <cellStyle name="60% - Énfasis2" xfId="14" builtinId="36" customBuiltin="1"/>
    <cellStyle name="60% - Énfasis2 2" xfId="113" xr:uid="{00000000-0005-0000-0000-000035000000}"/>
    <cellStyle name="60% - Énfasis2 3" xfId="114" xr:uid="{00000000-0005-0000-0000-000036000000}"/>
    <cellStyle name="60% - Énfasis2 4" xfId="115" xr:uid="{00000000-0005-0000-0000-000037000000}"/>
    <cellStyle name="60% - Énfasis3" xfId="15" builtinId="40" customBuiltin="1"/>
    <cellStyle name="60% - Énfasis3 2" xfId="116" xr:uid="{00000000-0005-0000-0000-000039000000}"/>
    <cellStyle name="60% - Énfasis3 3" xfId="117" xr:uid="{00000000-0005-0000-0000-00003A000000}"/>
    <cellStyle name="60% - Énfasis3 4" xfId="118" xr:uid="{00000000-0005-0000-0000-00003B000000}"/>
    <cellStyle name="60% - Énfasis4" xfId="16" builtinId="44" customBuiltin="1"/>
    <cellStyle name="60% - Énfasis4 2" xfId="119" xr:uid="{00000000-0005-0000-0000-00003D000000}"/>
    <cellStyle name="60% - Énfasis4 3" xfId="120" xr:uid="{00000000-0005-0000-0000-00003E000000}"/>
    <cellStyle name="60% - Énfasis4 4" xfId="121" xr:uid="{00000000-0005-0000-0000-00003F000000}"/>
    <cellStyle name="60% - Énfasis5" xfId="17" builtinId="48" customBuiltin="1"/>
    <cellStyle name="60% - Énfasis5 2" xfId="122" xr:uid="{00000000-0005-0000-0000-000041000000}"/>
    <cellStyle name="60% - Énfasis5 3" xfId="123" xr:uid="{00000000-0005-0000-0000-000042000000}"/>
    <cellStyle name="60% - Énfasis5 4" xfId="124" xr:uid="{00000000-0005-0000-0000-000043000000}"/>
    <cellStyle name="60% - Énfasis6" xfId="18" builtinId="52" customBuiltin="1"/>
    <cellStyle name="60% - Énfasis6 2" xfId="125" xr:uid="{00000000-0005-0000-0000-000045000000}"/>
    <cellStyle name="60% - Énfasis6 3" xfId="126" xr:uid="{00000000-0005-0000-0000-000046000000}"/>
    <cellStyle name="60% - Énfasis6 4" xfId="127" xr:uid="{00000000-0005-0000-0000-000047000000}"/>
    <cellStyle name="Buena 2" xfId="128" xr:uid="{00000000-0005-0000-0000-000049000000}"/>
    <cellStyle name="Buena 3" xfId="129" xr:uid="{00000000-0005-0000-0000-00004A000000}"/>
    <cellStyle name="Buena 4" xfId="130" xr:uid="{00000000-0005-0000-0000-00004B000000}"/>
    <cellStyle name="Bueno" xfId="19" builtinId="26" customBuiltin="1"/>
    <cellStyle name="Cálculo" xfId="20" builtinId="22" customBuiltin="1"/>
    <cellStyle name="Cálculo 2" xfId="131" xr:uid="{00000000-0005-0000-0000-00004D000000}"/>
    <cellStyle name="Cálculo 3" xfId="132" xr:uid="{00000000-0005-0000-0000-00004E000000}"/>
    <cellStyle name="Cálculo 4" xfId="133" xr:uid="{00000000-0005-0000-0000-00004F000000}"/>
    <cellStyle name="Celda de comprobación" xfId="21" builtinId="23" customBuiltin="1"/>
    <cellStyle name="Celda de comprobación 2" xfId="134" xr:uid="{00000000-0005-0000-0000-000051000000}"/>
    <cellStyle name="Celda de comprobación 3" xfId="135" xr:uid="{00000000-0005-0000-0000-000052000000}"/>
    <cellStyle name="Celda de comprobación 4" xfId="136" xr:uid="{00000000-0005-0000-0000-000053000000}"/>
    <cellStyle name="Celda vinculada" xfId="22" builtinId="24" customBuiltin="1"/>
    <cellStyle name="Celda vinculada 2" xfId="137" xr:uid="{00000000-0005-0000-0000-000055000000}"/>
    <cellStyle name="Celda vinculada 3" xfId="138" xr:uid="{00000000-0005-0000-0000-000056000000}"/>
    <cellStyle name="Celda vinculada 4" xfId="139" xr:uid="{00000000-0005-0000-0000-000057000000}"/>
    <cellStyle name="Encabezado 1" xfId="64" builtinId="16" customBuiltin="1"/>
    <cellStyle name="Encabezado 4" xfId="23" builtinId="19" customBuiltin="1"/>
    <cellStyle name="Encabezado 4 2" xfId="140" xr:uid="{00000000-0005-0000-0000-00005A000000}"/>
    <cellStyle name="Encabezado 4 3" xfId="141" xr:uid="{00000000-0005-0000-0000-00005B000000}"/>
    <cellStyle name="Encabezado 4 4" xfId="142" xr:uid="{00000000-0005-0000-0000-00005C000000}"/>
    <cellStyle name="Énfasis1" xfId="24" builtinId="29" customBuiltin="1"/>
    <cellStyle name="Énfasis1 2" xfId="143" xr:uid="{00000000-0005-0000-0000-00005E000000}"/>
    <cellStyle name="Énfasis1 3" xfId="144" xr:uid="{00000000-0005-0000-0000-00005F000000}"/>
    <cellStyle name="Énfasis1 4" xfId="145" xr:uid="{00000000-0005-0000-0000-000060000000}"/>
    <cellStyle name="Énfasis2" xfId="25" builtinId="33" customBuiltin="1"/>
    <cellStyle name="Énfasis2 2" xfId="146" xr:uid="{00000000-0005-0000-0000-000062000000}"/>
    <cellStyle name="Énfasis2 3" xfId="147" xr:uid="{00000000-0005-0000-0000-000063000000}"/>
    <cellStyle name="Énfasis2 4" xfId="148" xr:uid="{00000000-0005-0000-0000-000064000000}"/>
    <cellStyle name="Énfasis3" xfId="26" builtinId="37" customBuiltin="1"/>
    <cellStyle name="Énfasis3 2" xfId="149" xr:uid="{00000000-0005-0000-0000-000066000000}"/>
    <cellStyle name="Énfasis3 3" xfId="150" xr:uid="{00000000-0005-0000-0000-000067000000}"/>
    <cellStyle name="Énfasis3 4" xfId="151" xr:uid="{00000000-0005-0000-0000-000068000000}"/>
    <cellStyle name="Énfasis4" xfId="27" builtinId="41" customBuiltin="1"/>
    <cellStyle name="Énfasis4 2" xfId="152" xr:uid="{00000000-0005-0000-0000-00006A000000}"/>
    <cellStyle name="Énfasis4 3" xfId="153" xr:uid="{00000000-0005-0000-0000-00006B000000}"/>
    <cellStyle name="Énfasis4 4" xfId="154" xr:uid="{00000000-0005-0000-0000-00006C000000}"/>
    <cellStyle name="Énfasis5" xfId="28" builtinId="45" customBuiltin="1"/>
    <cellStyle name="Énfasis5 2" xfId="155" xr:uid="{00000000-0005-0000-0000-00006E000000}"/>
    <cellStyle name="Énfasis5 3" xfId="156" xr:uid="{00000000-0005-0000-0000-00006F000000}"/>
    <cellStyle name="Énfasis5 4" xfId="157" xr:uid="{00000000-0005-0000-0000-000070000000}"/>
    <cellStyle name="Énfasis6" xfId="29" builtinId="49" customBuiltin="1"/>
    <cellStyle name="Énfasis6 2" xfId="158" xr:uid="{00000000-0005-0000-0000-000072000000}"/>
    <cellStyle name="Énfasis6 3" xfId="159" xr:uid="{00000000-0005-0000-0000-000073000000}"/>
    <cellStyle name="Énfasis6 4" xfId="160" xr:uid="{00000000-0005-0000-0000-000074000000}"/>
    <cellStyle name="Entrada" xfId="30" builtinId="20" customBuiltin="1"/>
    <cellStyle name="Entrada 2" xfId="161" xr:uid="{00000000-0005-0000-0000-000076000000}"/>
    <cellStyle name="Entrada 3" xfId="162" xr:uid="{00000000-0005-0000-0000-000077000000}"/>
    <cellStyle name="Entrada 4" xfId="163" xr:uid="{00000000-0005-0000-0000-000078000000}"/>
    <cellStyle name="Euro" xfId="31" xr:uid="{00000000-0005-0000-0000-000079000000}"/>
    <cellStyle name="Euro 2" xfId="222" xr:uid="{00000000-0005-0000-0000-00007A000000}"/>
    <cellStyle name="F2" xfId="32" xr:uid="{00000000-0005-0000-0000-00007B000000}"/>
    <cellStyle name="F3" xfId="33" xr:uid="{00000000-0005-0000-0000-00007C000000}"/>
    <cellStyle name="F4" xfId="34" xr:uid="{00000000-0005-0000-0000-00007D000000}"/>
    <cellStyle name="F5" xfId="35" xr:uid="{00000000-0005-0000-0000-00007E000000}"/>
    <cellStyle name="F6" xfId="36" xr:uid="{00000000-0005-0000-0000-00007F000000}"/>
    <cellStyle name="F7" xfId="37" xr:uid="{00000000-0005-0000-0000-000080000000}"/>
    <cellStyle name="F8" xfId="38" xr:uid="{00000000-0005-0000-0000-000081000000}"/>
    <cellStyle name="Incorrecto" xfId="39" builtinId="27" customBuiltin="1"/>
    <cellStyle name="Incorrecto 2" xfId="164" xr:uid="{00000000-0005-0000-0000-000083000000}"/>
    <cellStyle name="Incorrecto 3" xfId="165" xr:uid="{00000000-0005-0000-0000-000084000000}"/>
    <cellStyle name="Incorrecto 4" xfId="166" xr:uid="{00000000-0005-0000-0000-000085000000}"/>
    <cellStyle name="Millares" xfId="40" builtinId="3"/>
    <cellStyle name="Millares [0]" xfId="41" builtinId="6"/>
    <cellStyle name="Millares [0] 2" xfId="243" xr:uid="{82782FDA-B9D5-444E-BC00-0C39AC96E482}"/>
    <cellStyle name="Millares [0] 2 2" xfId="323" xr:uid="{63D3521A-1EDC-46AB-8C66-B87DB15033CD}"/>
    <cellStyle name="Millares [0] 3" xfId="290" xr:uid="{F85B11EB-CDC4-4B9F-AC27-5253AEFEC4D6}"/>
    <cellStyle name="Millares 10" xfId="234" xr:uid="{00000000-0005-0000-0000-000088000000}"/>
    <cellStyle name="Millares 10 2" xfId="281" xr:uid="{D90663E5-51D5-46E4-8783-2FDEDD946C6D}"/>
    <cellStyle name="Millares 10 2 2" xfId="356" xr:uid="{F9653A77-598E-426F-A16B-D02EBC7DF78E}"/>
    <cellStyle name="Millares 10 3" xfId="315" xr:uid="{4C7AF524-5FDB-4F75-9C12-D3F1F5562637}"/>
    <cellStyle name="Millares 11" xfId="237" xr:uid="{00000000-0005-0000-0000-000089000000}"/>
    <cellStyle name="Millares 11 2" xfId="283" xr:uid="{98B41C4A-A4E9-420A-971E-80B62BC01D13}"/>
    <cellStyle name="Millares 11 2 2" xfId="358" xr:uid="{6F80C5F0-D443-4168-AED8-8FC8FEA8D3C6}"/>
    <cellStyle name="Millares 11 3" xfId="317" xr:uid="{480CB5AE-AF96-48F0-B8B5-992488A4835B}"/>
    <cellStyle name="Millares 12" xfId="240" xr:uid="{00000000-0005-0000-0000-00008A000000}"/>
    <cellStyle name="Millares 12 2" xfId="286" xr:uid="{C11F70AE-F46D-48F2-863F-5B1C93A19BDC}"/>
    <cellStyle name="Millares 12 2 2" xfId="361" xr:uid="{AF1DCDC9-2349-4B33-A93C-1E2CD88CF58C}"/>
    <cellStyle name="Millares 12 3" xfId="320" xr:uid="{B0DB2563-6587-4AB8-99F6-4171B80E9DE7}"/>
    <cellStyle name="Millares 13" xfId="242" xr:uid="{6C69891B-7AED-4044-8E65-63EAB6855CD8}"/>
    <cellStyle name="Millares 13 2" xfId="322" xr:uid="{6D327B99-02DA-416B-9875-2D812E8CCE6E}"/>
    <cellStyle name="Millares 14" xfId="257" xr:uid="{666687EB-2B19-455E-853D-3D239767BD3C}"/>
    <cellStyle name="Millares 14 2" xfId="332" xr:uid="{1CC46886-375C-4381-9CEC-F61A9BBCA62C}"/>
    <cellStyle name="Millares 15" xfId="288" xr:uid="{808A6824-4E58-43C5-9D22-2D013BEA1B57}"/>
    <cellStyle name="Millares 15 2" xfId="363" xr:uid="{72A76B21-57CC-45E6-A51A-226280929BDD}"/>
    <cellStyle name="Millares 16" xfId="252" xr:uid="{E67AB3FA-4C9E-46D5-A2A3-9B83ACC0BBE1}"/>
    <cellStyle name="Millares 16 2" xfId="327" xr:uid="{207CF78A-2547-47F7-ACAA-A9B7369F1FC4}"/>
    <cellStyle name="Millares 17" xfId="289" xr:uid="{C89BBFCA-1969-474B-BC44-2AFFEC511354}"/>
    <cellStyle name="Millares 2" xfId="42" xr:uid="{00000000-0005-0000-0000-00008B000000}"/>
    <cellStyle name="Millares 2 2" xfId="69" xr:uid="{00000000-0005-0000-0000-00008C000000}"/>
    <cellStyle name="Millares 2 2 2" xfId="249" xr:uid="{566AD4B3-A906-42F6-9073-5CEF3164E44A}"/>
    <cellStyle name="Millares 2 2 2 2" xfId="326" xr:uid="{BB3FB1F0-38D6-4A85-BCD1-41A81E4D6FAF}"/>
    <cellStyle name="Millares 2 3" xfId="167" xr:uid="{00000000-0005-0000-0000-00008D000000}"/>
    <cellStyle name="Millares 2 3 2" xfId="253" xr:uid="{153EA6E7-352A-43D0-A987-1D05ED9F7115}"/>
    <cellStyle name="Millares 2 3 2 2" xfId="328" xr:uid="{D6FF8237-5782-4583-B96A-4FCAA0C6C3FE}"/>
    <cellStyle name="Millares 2 4" xfId="168" xr:uid="{00000000-0005-0000-0000-00008E000000}"/>
    <cellStyle name="Millares 2 4 2" xfId="254" xr:uid="{8A95B0FD-830E-4CC2-AE3E-3D458D894473}"/>
    <cellStyle name="Millares 2 4 2 2" xfId="329" xr:uid="{ABDA1894-4A70-4B19-8D26-3ECD3B8B7B2B}"/>
    <cellStyle name="Millares 2 5" xfId="244" xr:uid="{12354E46-746F-424B-9EE4-BCF00449B56E}"/>
    <cellStyle name="Millares 2 5 2" xfId="324" xr:uid="{412080A6-9C15-4B5A-9514-E47951E2756A}"/>
    <cellStyle name="Millares 3" xfId="43" xr:uid="{00000000-0005-0000-0000-00008F000000}"/>
    <cellStyle name="Millares 3 2" xfId="216" xr:uid="{00000000-0005-0000-0000-000090000000}"/>
    <cellStyle name="Millares 3 2 2" xfId="266" xr:uid="{9CEE6254-EFB0-4F57-9894-48EC9D73942D}"/>
    <cellStyle name="Millares 3 2 2 2" xfId="341" xr:uid="{8B039DF8-F822-4766-ACA3-DE0405E28CD5}"/>
    <cellStyle name="Millares 3 2 3" xfId="301" xr:uid="{562D797F-FBC5-4097-8B53-95755378C0C7}"/>
    <cellStyle name="Millares 3 3" xfId="219" xr:uid="{00000000-0005-0000-0000-000091000000}"/>
    <cellStyle name="Millares 3 3 2" xfId="268" xr:uid="{8338934F-4EB3-4DAD-8E65-FE534EDE4F3A}"/>
    <cellStyle name="Millares 3 3 2 2" xfId="343" xr:uid="{3307211A-2C7E-4540-BC3F-F5BC394D7061}"/>
    <cellStyle name="Millares 3 4" xfId="245" xr:uid="{BD55A1B1-3805-4B48-8D0F-22F5B64C2DBD}"/>
    <cellStyle name="Millares 3 4 2" xfId="325" xr:uid="{8A89751F-FF71-4E03-BF05-14227A030F0C}"/>
    <cellStyle name="Millares 3 5" xfId="291" xr:uid="{AB6FD73D-95D5-45C8-91E5-323A20DBF304}"/>
    <cellStyle name="Millares 4" xfId="169" xr:uid="{00000000-0005-0000-0000-000092000000}"/>
    <cellStyle name="Millares 4 2" xfId="255" xr:uid="{DFE00049-F3D9-4D3A-B9C8-1E55906DD977}"/>
    <cellStyle name="Millares 4 2 2" xfId="330" xr:uid="{D366B5B6-58C1-46F1-85A6-76FA7CFCF01A}"/>
    <cellStyle name="Millares 5" xfId="211" xr:uid="{00000000-0005-0000-0000-000093000000}"/>
    <cellStyle name="Millares 5 2" xfId="261" xr:uid="{40009CDD-BED6-4713-84D4-2814CFCF4CFD}"/>
    <cellStyle name="Millares 5 2 2" xfId="336" xr:uid="{5D583F5E-CDA1-4E1C-B9FB-0DB644576CDF}"/>
    <cellStyle name="Millares 5 3" xfId="296" xr:uid="{F51DEBA8-2C3E-4D76-9695-A49B9627E938}"/>
    <cellStyle name="Millares 6" xfId="214" xr:uid="{00000000-0005-0000-0000-000094000000}"/>
    <cellStyle name="Millares 6 2" xfId="264" xr:uid="{BEF7EBE1-B11B-4D56-90A6-CC326C33364E}"/>
    <cellStyle name="Millares 6 2 2" xfId="339" xr:uid="{EAC9CEA4-A70A-46F6-8BE8-9C9860CE489A}"/>
    <cellStyle name="Millares 6 3" xfId="299" xr:uid="{A73040A0-FBFB-45D8-AC6E-E3EABD1C6CD2}"/>
    <cellStyle name="Millares 7" xfId="223" xr:uid="{00000000-0005-0000-0000-000095000000}"/>
    <cellStyle name="Millares 7 2" xfId="271" xr:uid="{CC189877-D250-4C01-A116-50CDEC6A7D81}"/>
    <cellStyle name="Millares 7 2 2" xfId="346" xr:uid="{50E0A2CD-0A5C-465E-84F7-4B414A56370F}"/>
    <cellStyle name="Millares 7 3" xfId="305" xr:uid="{E90134C2-D86E-4032-BA12-F4E4F3AEA7A5}"/>
    <cellStyle name="Millares 8" xfId="228" xr:uid="{00000000-0005-0000-0000-000096000000}"/>
    <cellStyle name="Millares 8 2" xfId="275" xr:uid="{B7B4A8D8-2FC1-4186-9F19-52F10A1690DB}"/>
    <cellStyle name="Millares 8 2 2" xfId="350" xr:uid="{C0DF0D7B-03E1-498F-939B-C9C9DD9A6FF1}"/>
    <cellStyle name="Millares 8 3" xfId="309" xr:uid="{9DBD7840-6403-4C3E-A535-949618F3E7AB}"/>
    <cellStyle name="Millares 9" xfId="231" xr:uid="{00000000-0005-0000-0000-000097000000}"/>
    <cellStyle name="Millares 9 2" xfId="278" xr:uid="{951163E2-CFA4-4390-82B0-965ADBC02D11}"/>
    <cellStyle name="Millares 9 2 2" xfId="353" xr:uid="{2B3D2A66-8F00-4CF8-8704-0C9E3A95FAD0}"/>
    <cellStyle name="Millares 9 3" xfId="312" xr:uid="{995AB4F5-D3F4-4FE8-B8C2-EDFAA2A3601C}"/>
    <cellStyle name="Millares_Cargos por Conexión - versión Final" xfId="44" xr:uid="{00000000-0005-0000-0000-000098000000}"/>
    <cellStyle name="Millares_Cargos por Conexión - versión Final 2" xfId="246" xr:uid="{37B59A83-2A0D-47F8-A766-3FDF1CC8D68E}"/>
    <cellStyle name="Millares_Modulo 6" xfId="45" xr:uid="{00000000-0005-0000-0000-000099000000}"/>
    <cellStyle name="Millares_RESUMEN" xfId="46" xr:uid="{00000000-0005-0000-0000-00009A000000}"/>
    <cellStyle name="Moneda" xfId="232" builtinId="4"/>
    <cellStyle name="Moneda 2" xfId="279" xr:uid="{4DA1EB1E-ED86-4740-B568-3EE64D6B345E}"/>
    <cellStyle name="Moneda 2 2" xfId="354" xr:uid="{B7C7D515-3F97-409A-9D65-2D67715D3B29}"/>
    <cellStyle name="Moneda 3" xfId="313" xr:uid="{012CC3E7-A14A-45F7-8B38-CB1B0CE70261}"/>
    <cellStyle name="Neutral" xfId="47" builtinId="28" customBuiltin="1"/>
    <cellStyle name="Neutral 2" xfId="170" xr:uid="{00000000-0005-0000-0000-00009D000000}"/>
    <cellStyle name="Neutral 3" xfId="171" xr:uid="{00000000-0005-0000-0000-00009E000000}"/>
    <cellStyle name="Neutral 4" xfId="172" xr:uid="{00000000-0005-0000-0000-00009F000000}"/>
    <cellStyle name="Normal" xfId="0" builtinId="0"/>
    <cellStyle name="Normal 10" xfId="217" xr:uid="{00000000-0005-0000-0000-0000A1000000}"/>
    <cellStyle name="Normal 10 2" xfId="267" xr:uid="{D03EC46E-ACB3-4128-B18D-54409A850C71}"/>
    <cellStyle name="Normal 10 2 2" xfId="342" xr:uid="{E9916FC5-E168-4E23-B5AB-C557A903F8B4}"/>
    <cellStyle name="Normal 10 3" xfId="302" xr:uid="{2C3BAA5C-B003-43FB-B9DA-AE6542C50615}"/>
    <cellStyle name="Normal 11" xfId="221" xr:uid="{00000000-0005-0000-0000-0000A2000000}"/>
    <cellStyle name="Normal 11 2" xfId="270" xr:uid="{A0625888-1D56-49DB-B2D4-5F86C44596BD}"/>
    <cellStyle name="Normal 11 2 2" xfId="345" xr:uid="{B6F157CF-5D7D-46F2-9528-F953FCC214D8}"/>
    <cellStyle name="Normal 11 3" xfId="304" xr:uid="{BBB1FC23-E95A-4398-AEC6-C997D5FB41F9}"/>
    <cellStyle name="Normal 12" xfId="226" xr:uid="{00000000-0005-0000-0000-0000A3000000}"/>
    <cellStyle name="Normal 12 2" xfId="273" xr:uid="{5EB83399-763A-461D-9D50-2D5072F4580E}"/>
    <cellStyle name="Normal 12 2 2" xfId="348" xr:uid="{7B7394CF-432E-423A-8808-9DE4643F4FC3}"/>
    <cellStyle name="Normal 12 3" xfId="307" xr:uid="{F72D7F30-0D79-4827-9591-DF4152B55CEF}"/>
    <cellStyle name="Normal 13" xfId="230" xr:uid="{00000000-0005-0000-0000-0000A4000000}"/>
    <cellStyle name="Normal 13 2" xfId="277" xr:uid="{4C8C71A2-50C9-43A7-B539-F25D9F4A40F6}"/>
    <cellStyle name="Normal 13 2 2" xfId="352" xr:uid="{D6FCF53D-4E6E-486B-9EE5-AD642EB9D0CB}"/>
    <cellStyle name="Normal 13 3" xfId="311" xr:uid="{F49FDE19-EA52-4111-8E5F-9E78750A5523}"/>
    <cellStyle name="Normal 14" xfId="233" xr:uid="{00000000-0005-0000-0000-0000A5000000}"/>
    <cellStyle name="Normal 14 2" xfId="280" xr:uid="{1879787B-A9FE-48B5-B0C6-1DEBDC7FA491}"/>
    <cellStyle name="Normal 14 2 2" xfId="355" xr:uid="{6F658D5D-DB63-4F9D-8048-48804FE2E5F9}"/>
    <cellStyle name="Normal 14 3" xfId="314" xr:uid="{B3F2F98A-A697-4CD6-8940-28701594B3A0}"/>
    <cellStyle name="Normal 15" xfId="235" xr:uid="{00000000-0005-0000-0000-0000A6000000}"/>
    <cellStyle name="Normal 16" xfId="236" xr:uid="{00000000-0005-0000-0000-0000A7000000}"/>
    <cellStyle name="Normal 16 2" xfId="282" xr:uid="{0F9BABC3-D2E1-4311-B856-227D88B7826E}"/>
    <cellStyle name="Normal 16 2 2" xfId="357" xr:uid="{C626406B-7233-4BC9-BAD7-FE134795CEFC}"/>
    <cellStyle name="Normal 16 3" xfId="316" xr:uid="{4C3D1D3B-2DA9-4B54-8D0E-2F5B8B5D7441}"/>
    <cellStyle name="Normal 17" xfId="239" xr:uid="{00000000-0005-0000-0000-0000A8000000}"/>
    <cellStyle name="Normal 17 2" xfId="285" xr:uid="{9D28BF2C-9413-4E49-93F2-810C1FD36DEF}"/>
    <cellStyle name="Normal 17 2 2" xfId="360" xr:uid="{30E319C3-CDFC-44FA-A03B-95D21D233E44}"/>
    <cellStyle name="Normal 17 3" xfId="319" xr:uid="{6DE87D9F-6745-4DC3-8C93-253ABEF5C94D}"/>
    <cellStyle name="Normal 2" xfId="48" xr:uid="{00000000-0005-0000-0000-0000A9000000}"/>
    <cellStyle name="Normal 2 2" xfId="70" xr:uid="{00000000-0005-0000-0000-0000AA000000}"/>
    <cellStyle name="Normal 2 2 2" xfId="250" xr:uid="{AC041589-6654-4197-B89F-1FF1562537C7}"/>
    <cellStyle name="Normal 2 3" xfId="173" xr:uid="{00000000-0005-0000-0000-0000AB000000}"/>
    <cellStyle name="Normal 2 3 2" xfId="174" xr:uid="{00000000-0005-0000-0000-0000AC000000}"/>
    <cellStyle name="Normal 2 4" xfId="175" xr:uid="{00000000-0005-0000-0000-0000AD000000}"/>
    <cellStyle name="Normal 3" xfId="49" xr:uid="{00000000-0005-0000-0000-0000AE000000}"/>
    <cellStyle name="Normal 3 2" xfId="71" xr:uid="{00000000-0005-0000-0000-0000AF000000}"/>
    <cellStyle name="Normal 3 2 2" xfId="210" xr:uid="{00000000-0005-0000-0000-0000B0000000}"/>
    <cellStyle name="Normal 3 3" xfId="176" xr:uid="{00000000-0005-0000-0000-0000B1000000}"/>
    <cellStyle name="Normal 4" xfId="72" xr:uid="{00000000-0005-0000-0000-0000B2000000}"/>
    <cellStyle name="Normal 4 2" xfId="251" xr:uid="{C1A361D2-0D67-4C1F-8B0F-DDECC4FCCF2E}"/>
    <cellStyle name="Normal 5" xfId="73" xr:uid="{00000000-0005-0000-0000-0000B3000000}"/>
    <cellStyle name="Normal 5 2" xfId="177" xr:uid="{00000000-0005-0000-0000-0000B4000000}"/>
    <cellStyle name="Normal 5 3" xfId="178" xr:uid="{00000000-0005-0000-0000-0000B5000000}"/>
    <cellStyle name="Normal 5 3 2" xfId="256" xr:uid="{1957D750-6CC3-490F-907A-FCE998EA6BA8}"/>
    <cellStyle name="Normal 5 3 2 2" xfId="331" xr:uid="{15A4E619-ABFB-4DBF-8F70-62F6F0F6F593}"/>
    <cellStyle name="Normal 5 3 3" xfId="292" xr:uid="{6F7B2EB7-1ECC-4BD8-A729-F12F19F51F64}"/>
    <cellStyle name="Normal 6" xfId="179" xr:uid="{00000000-0005-0000-0000-0000B6000000}"/>
    <cellStyle name="Normal 7" xfId="208" xr:uid="{00000000-0005-0000-0000-0000B7000000}"/>
    <cellStyle name="Normal 7 2" xfId="259" xr:uid="{5432F106-A30B-4D9D-AE48-D6736D3F1D47}"/>
    <cellStyle name="Normal 7 2 2" xfId="334" xr:uid="{3E3B523E-3290-4773-9B41-D1A1EA0A2896}"/>
    <cellStyle name="Normal 7 3" xfId="294" xr:uid="{393B2E5C-CF14-4686-9FFF-2D6A0DA68DC2}"/>
    <cellStyle name="Normal 8" xfId="212" xr:uid="{00000000-0005-0000-0000-0000B8000000}"/>
    <cellStyle name="Normal 8 2" xfId="262" xr:uid="{CF647C8C-4C96-47C5-830C-823E3A1F3B30}"/>
    <cellStyle name="Normal 8 2 2" xfId="337" xr:uid="{0CA0FFE5-9AED-4755-B9EE-9B2C003F93E7}"/>
    <cellStyle name="Normal 8 3" xfId="297" xr:uid="{F3AFD81B-F39A-4F4A-8BF5-76A25B9F05C4}"/>
    <cellStyle name="Normal 9" xfId="215" xr:uid="{00000000-0005-0000-0000-0000B9000000}"/>
    <cellStyle name="Normal 9 2" xfId="229" xr:uid="{00000000-0005-0000-0000-0000BA000000}"/>
    <cellStyle name="Normal 9 2 2" xfId="276" xr:uid="{88E9473F-E8D7-4FFC-AA38-F00D77FA246A}"/>
    <cellStyle name="Normal 9 2 2 2" xfId="351" xr:uid="{2BDC2C14-763D-4637-AEFB-9E6C88F2900B}"/>
    <cellStyle name="Normal 9 2 3" xfId="310" xr:uid="{1D61A84D-2189-4D32-A5D9-B5D3A81AF197}"/>
    <cellStyle name="Normal 9 3" xfId="265" xr:uid="{4EFBCA79-9EBF-4525-B424-2888BA3CC100}"/>
    <cellStyle name="Normal 9 3 2" xfId="340" xr:uid="{01A80998-DD1E-4BBD-9645-4484E8DDBE94}"/>
    <cellStyle name="Normal 9 4" xfId="300" xr:uid="{AF133441-ABDC-4877-A416-BBB7F810D176}"/>
    <cellStyle name="Normal_Cuentas de Balance - 19 Feb 04" xfId="50" xr:uid="{00000000-0005-0000-0000-0000BB000000}"/>
    <cellStyle name="Normal_PANAM2" xfId="224" xr:uid="{00000000-0005-0000-0000-0000BC000000}"/>
    <cellStyle name="Notas" xfId="51" builtinId="10" customBuiltin="1"/>
    <cellStyle name="Notas 2" xfId="180" xr:uid="{00000000-0005-0000-0000-0000BE000000}"/>
    <cellStyle name="Notas 3" xfId="181" xr:uid="{00000000-0005-0000-0000-0000BF000000}"/>
    <cellStyle name="Notas 4" xfId="182" xr:uid="{00000000-0005-0000-0000-0000C0000000}"/>
    <cellStyle name="Output Amounts" xfId="52" xr:uid="{00000000-0005-0000-0000-0000C1000000}"/>
    <cellStyle name="Output Column Headings" xfId="53" xr:uid="{00000000-0005-0000-0000-0000C2000000}"/>
    <cellStyle name="Output Line Items" xfId="54" xr:uid="{00000000-0005-0000-0000-0000C3000000}"/>
    <cellStyle name="Output Report Heading" xfId="55" xr:uid="{00000000-0005-0000-0000-0000C4000000}"/>
    <cellStyle name="Output Report Title" xfId="56" xr:uid="{00000000-0005-0000-0000-0000C5000000}"/>
    <cellStyle name="Porcentaje" xfId="57" builtinId="5"/>
    <cellStyle name="Porcentaje 2" xfId="68" xr:uid="{00000000-0005-0000-0000-0000C7000000}"/>
    <cellStyle name="Porcentaje 2 2" xfId="218" xr:uid="{00000000-0005-0000-0000-0000C8000000}"/>
    <cellStyle name="Porcentaje 3" xfId="209" xr:uid="{00000000-0005-0000-0000-0000C9000000}"/>
    <cellStyle name="Porcentaje 3 2" xfId="260" xr:uid="{4B0516C2-9070-4385-984B-08BDF62C6D58}"/>
    <cellStyle name="Porcentaje 3 2 2" xfId="335" xr:uid="{8F136F44-7D01-4B36-9881-B90C3538ECC3}"/>
    <cellStyle name="Porcentaje 3 3" xfId="295" xr:uid="{D401999E-0AF0-4491-AE90-C65CA44639AA}"/>
    <cellStyle name="Porcentaje 4" xfId="213" xr:uid="{00000000-0005-0000-0000-0000CA000000}"/>
    <cellStyle name="Porcentaje 4 2" xfId="263" xr:uid="{D0E57DD8-CDE1-4AE5-87AC-F2921929B0C0}"/>
    <cellStyle name="Porcentaje 4 2 2" xfId="338" xr:uid="{C2AE6957-2F24-4578-9988-6DD931310F63}"/>
    <cellStyle name="Porcentaje 4 3" xfId="298" xr:uid="{9F540F1E-D9BB-41BF-B2AA-7563D50A2380}"/>
    <cellStyle name="Porcentaje 5" xfId="220" xr:uid="{00000000-0005-0000-0000-0000CB000000}"/>
    <cellStyle name="Porcentaje 5 2" xfId="269" xr:uid="{AF083D23-5A71-4E00-92A4-0FBA0539DFCE}"/>
    <cellStyle name="Porcentaje 5 2 2" xfId="344" xr:uid="{A9AFE938-41F7-4CE9-86C7-1695E07116D1}"/>
    <cellStyle name="Porcentaje 5 3" xfId="303" xr:uid="{5CEDE5AE-A138-45AB-928F-5E6F3336EF30}"/>
    <cellStyle name="Porcentaje 6" xfId="225" xr:uid="{00000000-0005-0000-0000-0000CC000000}"/>
    <cellStyle name="Porcentaje 6 2" xfId="272" xr:uid="{8A85BA43-33CA-4353-9996-6A75EDC2410B}"/>
    <cellStyle name="Porcentaje 6 2 2" xfId="347" xr:uid="{39D7DA5F-E4E8-424A-99D6-24C7F011E063}"/>
    <cellStyle name="Porcentaje 6 3" xfId="306" xr:uid="{ECCB78B6-B42C-4942-9BAB-EC6F7C4FC951}"/>
    <cellStyle name="Porcentaje 7" xfId="227" xr:uid="{00000000-0005-0000-0000-0000CD000000}"/>
    <cellStyle name="Porcentaje 7 2" xfId="274" xr:uid="{7CDA5A75-7B45-45F9-9272-9B5246077CC4}"/>
    <cellStyle name="Porcentaje 7 2 2" xfId="349" xr:uid="{5F271F5B-B74F-4CC6-8221-57CDD6C140DD}"/>
    <cellStyle name="Porcentaje 7 3" xfId="308" xr:uid="{B9AB7DBE-99D6-4617-B0FD-2B818372D34E}"/>
    <cellStyle name="Porcentaje 8" xfId="238" xr:uid="{00000000-0005-0000-0000-0000CE000000}"/>
    <cellStyle name="Porcentaje 8 2" xfId="284" xr:uid="{6C9FC940-194F-4024-A78D-96D80E4F16C0}"/>
    <cellStyle name="Porcentaje 8 2 2" xfId="359" xr:uid="{8EA92183-7936-417F-8B6B-96928B619A7B}"/>
    <cellStyle name="Porcentaje 8 3" xfId="318" xr:uid="{95CF7A91-2E50-466B-B3C9-C6ED49377B84}"/>
    <cellStyle name="Porcentaje 9" xfId="241" xr:uid="{00000000-0005-0000-0000-0000CF000000}"/>
    <cellStyle name="Porcentaje 9 2" xfId="287" xr:uid="{7FE2355B-B476-46A0-B43F-BA7C77ACA36D}"/>
    <cellStyle name="Porcentaje 9 2 2" xfId="362" xr:uid="{2506DBF5-DFA5-4F38-9114-2BD0835D800F}"/>
    <cellStyle name="Porcentaje 9 3" xfId="321" xr:uid="{0997B823-E6EE-4C30-9F86-82A94B06FE42}"/>
    <cellStyle name="Porcentual 2" xfId="58" xr:uid="{00000000-0005-0000-0000-0000D0000000}"/>
    <cellStyle name="Porcentual 2 2" xfId="247" xr:uid="{CF1B341C-C1A7-4497-9B32-34FC26C43AB0}"/>
    <cellStyle name="Porcentual 3" xfId="59" xr:uid="{00000000-0005-0000-0000-0000D1000000}"/>
    <cellStyle name="Porcentual 3 2" xfId="248" xr:uid="{D181318D-4C16-4C01-BD88-9739AD991A21}"/>
    <cellStyle name="Porcentual 4" xfId="183" xr:uid="{00000000-0005-0000-0000-0000D2000000}"/>
    <cellStyle name="Porcentual 4 2" xfId="258" xr:uid="{086AB888-7AA6-4DD6-8BAC-F7AC454540A3}"/>
    <cellStyle name="Porcentual 4 2 2" xfId="333" xr:uid="{CAD27056-ED50-4F0C-9438-C1DCE6CC9A1D}"/>
    <cellStyle name="Porcentual 4 3" xfId="293" xr:uid="{A0B05295-687B-42DC-9CD6-5ADC8736BFE4}"/>
    <cellStyle name="Salida" xfId="60" builtinId="21" customBuiltin="1"/>
    <cellStyle name="Salida 2" xfId="184" xr:uid="{00000000-0005-0000-0000-0000D4000000}"/>
    <cellStyle name="Salida 3" xfId="185" xr:uid="{00000000-0005-0000-0000-0000D5000000}"/>
    <cellStyle name="Salida 4" xfId="186" xr:uid="{00000000-0005-0000-0000-0000D6000000}"/>
    <cellStyle name="Texto de advertencia" xfId="61" builtinId="11" customBuiltin="1"/>
    <cellStyle name="Texto de advertencia 2" xfId="187" xr:uid="{00000000-0005-0000-0000-0000D8000000}"/>
    <cellStyle name="Texto de advertencia 3" xfId="188" xr:uid="{00000000-0005-0000-0000-0000D9000000}"/>
    <cellStyle name="Texto de advertencia 4" xfId="189" xr:uid="{00000000-0005-0000-0000-0000DA000000}"/>
    <cellStyle name="Texto explicativo" xfId="62" builtinId="53" customBuiltin="1"/>
    <cellStyle name="Texto explicativo 2" xfId="190" xr:uid="{00000000-0005-0000-0000-0000DC000000}"/>
    <cellStyle name="Texto explicativo 3" xfId="191" xr:uid="{00000000-0005-0000-0000-0000DD000000}"/>
    <cellStyle name="Texto explicativo 4" xfId="192" xr:uid="{00000000-0005-0000-0000-0000DE000000}"/>
    <cellStyle name="Título" xfId="63" builtinId="15" customBuiltin="1"/>
    <cellStyle name="Título 1 2" xfId="193" xr:uid="{00000000-0005-0000-0000-0000E0000000}"/>
    <cellStyle name="Título 1 3" xfId="194" xr:uid="{00000000-0005-0000-0000-0000E1000000}"/>
    <cellStyle name="Título 1 4" xfId="195" xr:uid="{00000000-0005-0000-0000-0000E2000000}"/>
    <cellStyle name="Título 2" xfId="65" builtinId="17" customBuiltin="1"/>
    <cellStyle name="Título 2 2" xfId="196" xr:uid="{00000000-0005-0000-0000-0000E4000000}"/>
    <cellStyle name="Título 2 3" xfId="197" xr:uid="{00000000-0005-0000-0000-0000E5000000}"/>
    <cellStyle name="Título 2 4" xfId="198" xr:uid="{00000000-0005-0000-0000-0000E6000000}"/>
    <cellStyle name="Título 3" xfId="66" builtinId="18" customBuiltin="1"/>
    <cellStyle name="Título 3 2" xfId="199" xr:uid="{00000000-0005-0000-0000-0000E8000000}"/>
    <cellStyle name="Título 3 3" xfId="200" xr:uid="{00000000-0005-0000-0000-0000E9000000}"/>
    <cellStyle name="Título 3 4" xfId="201" xr:uid="{00000000-0005-0000-0000-0000EA000000}"/>
    <cellStyle name="Título 4" xfId="202" xr:uid="{00000000-0005-0000-0000-0000EB000000}"/>
    <cellStyle name="Título 5" xfId="203" xr:uid="{00000000-0005-0000-0000-0000EC000000}"/>
    <cellStyle name="Título 6" xfId="204" xr:uid="{00000000-0005-0000-0000-0000ED000000}"/>
    <cellStyle name="Total" xfId="67" builtinId="25" customBuiltin="1"/>
    <cellStyle name="Total 2" xfId="205" xr:uid="{00000000-0005-0000-0000-0000EF000000}"/>
    <cellStyle name="Total 3" xfId="206" xr:uid="{00000000-0005-0000-0000-0000F0000000}"/>
    <cellStyle name="Total 4" xfId="207" xr:uid="{00000000-0005-0000-0000-0000F1000000}"/>
  </cellStyles>
  <dxfs count="1">
    <dxf>
      <fill>
        <patternFill>
          <bgColor theme="9" tint="0.79998168889431442"/>
        </patternFill>
      </fill>
    </dxf>
  </dxfs>
  <tableStyles count="0" defaultTableStyle="TableStyleMedium9" defaultPivotStyle="PivotStyleLight16"/>
  <colors>
    <mruColors>
      <color rgb="FFFFFF99"/>
      <color rgb="FFFF69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3</xdr:row>
      <xdr:rowOff>9525</xdr:rowOff>
    </xdr:from>
    <xdr:to>
      <xdr:col>10</xdr:col>
      <xdr:colOff>952500</xdr:colOff>
      <xdr:row>3</xdr:row>
      <xdr:rowOff>200025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00000000-0008-0000-0700-0000010C0000}"/>
            </a:ext>
          </a:extLst>
        </xdr:cNvPr>
        <xdr:cNvSpPr txBox="1">
          <a:spLocks noChangeArrowheads="1"/>
        </xdr:cNvSpPr>
      </xdr:nvSpPr>
      <xdr:spPr bwMode="auto">
        <a:xfrm>
          <a:off x="5381625" y="1076325"/>
          <a:ext cx="5210175" cy="1905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</a:t>
          </a:r>
        </a:p>
      </xdr:txBody>
    </xdr:sp>
    <xdr:clientData/>
  </xdr:twoCellAnchor>
  <xdr:twoCellAnchor>
    <xdr:from>
      <xdr:col>4</xdr:col>
      <xdr:colOff>142875</xdr:colOff>
      <xdr:row>5</xdr:row>
      <xdr:rowOff>38100</xdr:rowOff>
    </xdr:from>
    <xdr:to>
      <xdr:col>10</xdr:col>
      <xdr:colOff>971550</xdr:colOff>
      <xdr:row>5</xdr:row>
      <xdr:rowOff>209550</xdr:rowOff>
    </xdr:to>
    <xdr:sp macro="" textlink="">
      <xdr:nvSpPr>
        <xdr:cNvPr id="3079" name="Text Box 7">
          <a:extLst>
            <a:ext uri="{FF2B5EF4-FFF2-40B4-BE49-F238E27FC236}">
              <a16:creationId xmlns:a16="http://schemas.microsoft.com/office/drawing/2014/main" id="{00000000-0008-0000-0700-0000070C0000}"/>
            </a:ext>
          </a:extLst>
        </xdr:cNvPr>
        <xdr:cNvSpPr txBox="1">
          <a:spLocks noChangeArrowheads="1"/>
        </xdr:cNvSpPr>
      </xdr:nvSpPr>
      <xdr:spPr bwMode="auto">
        <a:xfrm>
          <a:off x="5400675" y="1790700"/>
          <a:ext cx="5210175" cy="1714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RRT)*FA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3</xdr:row>
      <xdr:rowOff>9525</xdr:rowOff>
    </xdr:from>
    <xdr:to>
      <xdr:col>10</xdr:col>
      <xdr:colOff>952500</xdr:colOff>
      <xdr:row>3</xdr:row>
      <xdr:rowOff>200025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5734050" y="1076325"/>
          <a:ext cx="5391150" cy="1905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</a:t>
          </a:r>
        </a:p>
      </xdr:txBody>
    </xdr:sp>
    <xdr:clientData/>
  </xdr:twoCellAnchor>
  <xdr:twoCellAnchor>
    <xdr:from>
      <xdr:col>4</xdr:col>
      <xdr:colOff>142875</xdr:colOff>
      <xdr:row>5</xdr:row>
      <xdr:rowOff>38100</xdr:rowOff>
    </xdr:from>
    <xdr:to>
      <xdr:col>10</xdr:col>
      <xdr:colOff>971550</xdr:colOff>
      <xdr:row>5</xdr:row>
      <xdr:rowOff>209550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5753100" y="1790700"/>
          <a:ext cx="5391150" cy="1714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RRT)*FA</a:t>
          </a:r>
        </a:p>
      </xdr:txBody>
    </xdr:sp>
    <xdr:clientData/>
  </xdr:twoCellAnchor>
  <xdr:twoCellAnchor>
    <xdr:from>
      <xdr:col>4</xdr:col>
      <xdr:colOff>123825</xdr:colOff>
      <xdr:row>3</xdr:row>
      <xdr:rowOff>9525</xdr:rowOff>
    </xdr:from>
    <xdr:to>
      <xdr:col>10</xdr:col>
      <xdr:colOff>952500</xdr:colOff>
      <xdr:row>3</xdr:row>
      <xdr:rowOff>200025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5734050" y="1076325"/>
          <a:ext cx="5953125" cy="1905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</a:t>
          </a:r>
        </a:p>
      </xdr:txBody>
    </xdr:sp>
    <xdr:clientData/>
  </xdr:twoCellAnchor>
  <xdr:twoCellAnchor>
    <xdr:from>
      <xdr:col>4</xdr:col>
      <xdr:colOff>142875</xdr:colOff>
      <xdr:row>5</xdr:row>
      <xdr:rowOff>38100</xdr:rowOff>
    </xdr:from>
    <xdr:to>
      <xdr:col>10</xdr:col>
      <xdr:colOff>971550</xdr:colOff>
      <xdr:row>5</xdr:row>
      <xdr:rowOff>209550</xdr:rowOff>
    </xdr:to>
    <xdr:sp macro="" textlink="">
      <xdr:nvSpPr>
        <xdr:cNvPr id="5" name="Text Box 7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5753100" y="1790700"/>
          <a:ext cx="5953125" cy="1714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RRT)*FA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3</xdr:row>
      <xdr:rowOff>9525</xdr:rowOff>
    </xdr:from>
    <xdr:to>
      <xdr:col>10</xdr:col>
      <xdr:colOff>952500</xdr:colOff>
      <xdr:row>3</xdr:row>
      <xdr:rowOff>200025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5734050" y="1076325"/>
          <a:ext cx="5391150" cy="1905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</a:t>
          </a:r>
        </a:p>
      </xdr:txBody>
    </xdr:sp>
    <xdr:clientData/>
  </xdr:twoCellAnchor>
  <xdr:twoCellAnchor>
    <xdr:from>
      <xdr:col>4</xdr:col>
      <xdr:colOff>142875</xdr:colOff>
      <xdr:row>5</xdr:row>
      <xdr:rowOff>38100</xdr:rowOff>
    </xdr:from>
    <xdr:to>
      <xdr:col>10</xdr:col>
      <xdr:colOff>971550</xdr:colOff>
      <xdr:row>5</xdr:row>
      <xdr:rowOff>209550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5753100" y="1790700"/>
          <a:ext cx="5391150" cy="1714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RRT)*FA</a:t>
          </a:r>
        </a:p>
      </xdr:txBody>
    </xdr:sp>
    <xdr:clientData/>
  </xdr:twoCellAnchor>
  <xdr:twoCellAnchor>
    <xdr:from>
      <xdr:col>4</xdr:col>
      <xdr:colOff>123825</xdr:colOff>
      <xdr:row>3</xdr:row>
      <xdr:rowOff>9525</xdr:rowOff>
    </xdr:from>
    <xdr:to>
      <xdr:col>10</xdr:col>
      <xdr:colOff>952500</xdr:colOff>
      <xdr:row>3</xdr:row>
      <xdr:rowOff>200025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5734050" y="1076325"/>
          <a:ext cx="5953125" cy="1905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</a:t>
          </a:r>
        </a:p>
      </xdr:txBody>
    </xdr:sp>
    <xdr:clientData/>
  </xdr:twoCellAnchor>
  <xdr:twoCellAnchor>
    <xdr:from>
      <xdr:col>4</xdr:col>
      <xdr:colOff>142875</xdr:colOff>
      <xdr:row>5</xdr:row>
      <xdr:rowOff>38100</xdr:rowOff>
    </xdr:from>
    <xdr:to>
      <xdr:col>10</xdr:col>
      <xdr:colOff>971550</xdr:colOff>
      <xdr:row>5</xdr:row>
      <xdr:rowOff>209550</xdr:rowOff>
    </xdr:to>
    <xdr:sp macro="" textlink="">
      <xdr:nvSpPr>
        <xdr:cNvPr id="5" name="Text Box 7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5753100" y="1790700"/>
          <a:ext cx="5953125" cy="1714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RRT)*FA</a:t>
          </a:r>
        </a:p>
      </xdr:txBody>
    </xdr:sp>
    <xdr:clientData/>
  </xdr:twoCellAnchor>
  <xdr:twoCellAnchor>
    <xdr:from>
      <xdr:col>4</xdr:col>
      <xdr:colOff>123825</xdr:colOff>
      <xdr:row>3</xdr:row>
      <xdr:rowOff>9525</xdr:rowOff>
    </xdr:from>
    <xdr:to>
      <xdr:col>10</xdr:col>
      <xdr:colOff>952500</xdr:colOff>
      <xdr:row>3</xdr:row>
      <xdr:rowOff>200025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5734050" y="1076325"/>
          <a:ext cx="5953125" cy="1905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</a:t>
          </a:r>
        </a:p>
      </xdr:txBody>
    </xdr:sp>
    <xdr:clientData/>
  </xdr:twoCellAnchor>
  <xdr:twoCellAnchor>
    <xdr:from>
      <xdr:col>4</xdr:col>
      <xdr:colOff>142875</xdr:colOff>
      <xdr:row>5</xdr:row>
      <xdr:rowOff>38100</xdr:rowOff>
    </xdr:from>
    <xdr:to>
      <xdr:col>10</xdr:col>
      <xdr:colOff>971550</xdr:colOff>
      <xdr:row>5</xdr:row>
      <xdr:rowOff>209550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5753100" y="1790700"/>
          <a:ext cx="5953125" cy="1714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RRT)*FA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3</xdr:row>
      <xdr:rowOff>9525</xdr:rowOff>
    </xdr:from>
    <xdr:to>
      <xdr:col>10</xdr:col>
      <xdr:colOff>952500</xdr:colOff>
      <xdr:row>3</xdr:row>
      <xdr:rowOff>200025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5734050" y="1076325"/>
          <a:ext cx="5391150" cy="1905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</a:t>
          </a:r>
        </a:p>
      </xdr:txBody>
    </xdr:sp>
    <xdr:clientData/>
  </xdr:twoCellAnchor>
  <xdr:twoCellAnchor>
    <xdr:from>
      <xdr:col>4</xdr:col>
      <xdr:colOff>142875</xdr:colOff>
      <xdr:row>5</xdr:row>
      <xdr:rowOff>38100</xdr:rowOff>
    </xdr:from>
    <xdr:to>
      <xdr:col>10</xdr:col>
      <xdr:colOff>971550</xdr:colOff>
      <xdr:row>5</xdr:row>
      <xdr:rowOff>209550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5753100" y="1790700"/>
          <a:ext cx="5391150" cy="1714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RRT)*FA</a:t>
          </a:r>
        </a:p>
      </xdr:txBody>
    </xdr:sp>
    <xdr:clientData/>
  </xdr:twoCellAnchor>
  <xdr:twoCellAnchor>
    <xdr:from>
      <xdr:col>4</xdr:col>
      <xdr:colOff>123825</xdr:colOff>
      <xdr:row>3</xdr:row>
      <xdr:rowOff>9525</xdr:rowOff>
    </xdr:from>
    <xdr:to>
      <xdr:col>10</xdr:col>
      <xdr:colOff>952500</xdr:colOff>
      <xdr:row>3</xdr:row>
      <xdr:rowOff>200025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5734050" y="1076325"/>
          <a:ext cx="5953125" cy="1905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</a:t>
          </a:r>
        </a:p>
      </xdr:txBody>
    </xdr:sp>
    <xdr:clientData/>
  </xdr:twoCellAnchor>
  <xdr:twoCellAnchor>
    <xdr:from>
      <xdr:col>4</xdr:col>
      <xdr:colOff>142875</xdr:colOff>
      <xdr:row>5</xdr:row>
      <xdr:rowOff>38100</xdr:rowOff>
    </xdr:from>
    <xdr:to>
      <xdr:col>10</xdr:col>
      <xdr:colOff>971550</xdr:colOff>
      <xdr:row>5</xdr:row>
      <xdr:rowOff>209550</xdr:rowOff>
    </xdr:to>
    <xdr:sp macro="" textlink="">
      <xdr:nvSpPr>
        <xdr:cNvPr id="5" name="Text Box 7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5753100" y="1790700"/>
          <a:ext cx="5953125" cy="1714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RRT)*FA</a:t>
          </a:r>
        </a:p>
      </xdr:txBody>
    </xdr:sp>
    <xdr:clientData/>
  </xdr:twoCellAnchor>
  <xdr:twoCellAnchor>
    <xdr:from>
      <xdr:col>4</xdr:col>
      <xdr:colOff>123825</xdr:colOff>
      <xdr:row>3</xdr:row>
      <xdr:rowOff>9525</xdr:rowOff>
    </xdr:from>
    <xdr:to>
      <xdr:col>10</xdr:col>
      <xdr:colOff>952500</xdr:colOff>
      <xdr:row>3</xdr:row>
      <xdr:rowOff>200025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5734050" y="1076325"/>
          <a:ext cx="5953125" cy="1905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</a:t>
          </a:r>
        </a:p>
      </xdr:txBody>
    </xdr:sp>
    <xdr:clientData/>
  </xdr:twoCellAnchor>
  <xdr:twoCellAnchor>
    <xdr:from>
      <xdr:col>4</xdr:col>
      <xdr:colOff>142875</xdr:colOff>
      <xdr:row>5</xdr:row>
      <xdr:rowOff>38100</xdr:rowOff>
    </xdr:from>
    <xdr:to>
      <xdr:col>10</xdr:col>
      <xdr:colOff>971550</xdr:colOff>
      <xdr:row>5</xdr:row>
      <xdr:rowOff>209550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>
          <a:spLocks noChangeArrowheads="1"/>
        </xdr:cNvSpPr>
      </xdr:nvSpPr>
      <xdr:spPr bwMode="auto">
        <a:xfrm>
          <a:off x="5753100" y="1790700"/>
          <a:ext cx="5953125" cy="1714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RRT)*FA</a:t>
          </a:r>
        </a:p>
      </xdr:txBody>
    </xdr:sp>
    <xdr:clientData/>
  </xdr:twoCellAnchor>
  <xdr:twoCellAnchor>
    <xdr:from>
      <xdr:col>4</xdr:col>
      <xdr:colOff>123825</xdr:colOff>
      <xdr:row>3</xdr:row>
      <xdr:rowOff>9525</xdr:rowOff>
    </xdr:from>
    <xdr:to>
      <xdr:col>10</xdr:col>
      <xdr:colOff>952500</xdr:colOff>
      <xdr:row>3</xdr:row>
      <xdr:rowOff>200025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>
          <a:spLocks noChangeArrowheads="1"/>
        </xdr:cNvSpPr>
      </xdr:nvSpPr>
      <xdr:spPr bwMode="auto">
        <a:xfrm>
          <a:off x="5734050" y="1076325"/>
          <a:ext cx="5953125" cy="1905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</a:t>
          </a:r>
        </a:p>
      </xdr:txBody>
    </xdr:sp>
    <xdr:clientData/>
  </xdr:twoCellAnchor>
  <xdr:twoCellAnchor>
    <xdr:from>
      <xdr:col>4</xdr:col>
      <xdr:colOff>142875</xdr:colOff>
      <xdr:row>5</xdr:row>
      <xdr:rowOff>38100</xdr:rowOff>
    </xdr:from>
    <xdr:to>
      <xdr:col>10</xdr:col>
      <xdr:colOff>971550</xdr:colOff>
      <xdr:row>5</xdr:row>
      <xdr:rowOff>209550</xdr:rowOff>
    </xdr:to>
    <xdr:sp macro="" textlink="">
      <xdr:nvSpPr>
        <xdr:cNvPr id="9" name="Text Box 7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5753100" y="1790700"/>
          <a:ext cx="5953125" cy="1714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CX cxj =( ADMCTcxj  + OMTCTcxj  + ACTCTef cxj * DEP% +ACTCTef cxj * RRT)*FA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chen.ETESA/Documents/Revision%20Periodo%20tarifario%202017-2021/resolucion%2012136/IMP%20ETESA%202017_2021%20Postconsulta%20resolucion%2012136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hernandezc\Desktop\disco%20interno\Nuevo%20Regimen%20Tarifario%202025-2029\IMP%20Modelo%20de%20c&#225;lculo\metodologia_calculo.xlsx" TargetMode="External"/><Relationship Id="rId1" Type="http://schemas.openxmlformats.org/officeDocument/2006/relationships/externalLinkPath" Target="/Users/ehernandezc/Desktop/disco%20interno/Nuevo%20Regimen%20Tarifario%202025-2029/IMP%20Modelo%20de%20c&#225;lculo/metodologia_calculo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chen.ETESA/Documents/Revision%20Periodo%20tarifario%202017-2021/Copia%20de%20cargo%20conexion%2017-21%20Nicolas%20v6.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hernandezc/AppData/Local/Temp/8e1c7660-b09e-4a9a-94b2-bdcf879c693f_VNR_ETESA_2025-01-27%20(1).ZIP.93f/2025-01-27/SE/VNR%20SUB%202024%20SPT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hernandezc/AppData/Local/Temp/d8bc3f93-4c45-47f6-966b-1bd6b20c328d_VNR%20SUBESTACIONES%20ETESA%202021%20(003).zip.28d/VNR%20SUB%202021%20SP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huerta/AppData/Local/Microsoft/Windows/INetCache/Content.Outlook/LKN2090P/metodologia_calcul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perez/Desktop/Escritorio%202017/Pliego%20de%20Cargos%202017%20%202021/IMP2017_2021_21dic2017-consulta_publica%20desbloqueado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Mrivera\Mis%20documentos\TARIFAS%20DE%20TRANSMISION\R&#233;gimen%202005-2009\IMP\IMP%202005-09%20(FINAL%20post%20consulta%20p&#250;blica)+MR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lejandro\Revicoes%20tarif&#225;rias\PA\M0755-03Panam&#225;Transmisi&#243;n2003\Informes\Fase%20IVIMP\Modelo%20Tarifas%20Transmisi&#243;n%2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perez/AppData/Local/Microsoft/Windows/Temporary%20Internet%20Files/Content.Outlook/VDYPYMZJ/Unlocked_imp_etesa2017_2021_21dic2017-consulta_publica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omeda\planeamiento\Documents%20and%20Settings\mrivera\Mis%20documentos\TARIFAS%20DE%20TRANSMISION\R&#233;gimen%202005-2009\IMP\IMP%202005-09%20(FINAL%20post%20consulta%20p&#250;blica)+MR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omeda\planeamiento\Documents%20and%20Settings\Mrivera\Configuraci&#243;n%20local\Archivos%20temporales%20de%20Internet\OLK10\Cargos%20por%20Conexi&#243;n%20-%20versi&#243;n%20Final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perez/Configuraci&#243;n%20local/Archivos%20temporales%20de%20Internet/Content.Outlook/Y0K2GZNR/C%20X%20C%202009-2013%2019%20mayo%20ASEP%20Nota%201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 Existente"/>
      <sheetName val="IMPA Indicativo"/>
      <sheetName val="Activos Reconocidos"/>
      <sheetName val="Tasa de Depreciación"/>
      <sheetName val="OMT%_ADMT%"/>
      <sheetName val="Base de Capital"/>
      <sheetName val="Plan de Expansión"/>
      <sheetName val="Tercera Línea"/>
      <sheetName val="VNR"/>
      <sheetName val="CND_HID"/>
      <sheetName val="GEN_OBL"/>
      <sheetName val="Anexo Activos_Depreciaciones"/>
      <sheetName val="Bienes e Instalaciones 31_12_16"/>
      <sheetName val="Conso Altas 2013_2016"/>
      <sheetName val="IMP RevTar_2013_2017"/>
      <sheetName val="Hoja1"/>
      <sheetName val="Hoja2"/>
      <sheetName val="Cuadro Informe"/>
    </sheetNames>
    <sheetDataSet>
      <sheetData sheetId="0"/>
      <sheetData sheetId="1">
        <row r="13">
          <cell r="D13">
            <v>7.7600000000000002E-2</v>
          </cell>
        </row>
      </sheetData>
      <sheetData sheetId="2">
        <row r="65">
          <cell r="E65">
            <v>0</v>
          </cell>
        </row>
      </sheetData>
      <sheetData sheetId="3"/>
      <sheetData sheetId="4">
        <row r="13">
          <cell r="G13">
            <v>9.300000000000001E-3</v>
          </cell>
        </row>
      </sheetData>
      <sheetData sheetId="5"/>
      <sheetData sheetId="6">
        <row r="10">
          <cell r="C10">
            <v>0</v>
          </cell>
          <cell r="D10">
            <v>0</v>
          </cell>
        </row>
      </sheetData>
      <sheetData sheetId="7"/>
      <sheetData sheetId="8">
        <row r="32">
          <cell r="F32">
            <v>347773847.60483652</v>
          </cell>
        </row>
        <row r="38">
          <cell r="F38">
            <v>36672308.815588608</v>
          </cell>
        </row>
        <row r="48">
          <cell r="G48">
            <v>67037095.958703928</v>
          </cell>
        </row>
        <row r="59">
          <cell r="Q59">
            <v>368338574.5715453</v>
          </cell>
        </row>
        <row r="69">
          <cell r="Q69">
            <v>6933848.1310749892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MP Existente"/>
      <sheetName val="Factor ajuste"/>
      <sheetName val="IMPA Indicativo"/>
      <sheetName val="Sensibilidad"/>
      <sheetName val="Activos Reconocidos"/>
      <sheetName val="Tasa de Depreciación"/>
      <sheetName val="Base de Capital"/>
      <sheetName val="BS01_BS02"/>
      <sheetName val="INVNE_Conex"/>
      <sheetName val="OMT%_ADMT%"/>
      <sheetName val="VNR_Lin"/>
      <sheetName val="VNR_Sub"/>
      <sheetName val="AdicionesVNR_actualiz"/>
      <sheetName val="servidumbres"/>
      <sheetName val="Plan de Expansión"/>
      <sheetName val="Comparacion_adiciones"/>
      <sheetName val="Adiciones"/>
      <sheetName val="Sabanitas_PanamaIII"/>
      <sheetName val="Base ETESA"/>
      <sheetName val="CND"/>
      <sheetName val="CTPR"/>
      <sheetName val="Tercera Línea"/>
      <sheetName val="Bienes e Instalaciones 31_12_20"/>
      <sheetName val="Homologadores"/>
      <sheetName val="CEMIG-GT"/>
      <sheetName val="Transelec"/>
      <sheetName val="ISA REP"/>
      <sheetName val="Ratios comparadores"/>
      <sheetName val="Cuadro Infor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2">
          <cell r="L12">
            <v>98696437.786970451</v>
          </cell>
          <cell r="M12">
            <v>27388082.599538367</v>
          </cell>
        </row>
        <row r="13">
          <cell r="L13">
            <v>91260017.792276338</v>
          </cell>
          <cell r="M13">
            <v>16253902.481888846</v>
          </cell>
        </row>
        <row r="14">
          <cell r="L14">
            <v>17252064.618837062</v>
          </cell>
          <cell r="M14">
            <v>7417137.692986818</v>
          </cell>
        </row>
        <row r="15">
          <cell r="L15">
            <v>12114206.428986164</v>
          </cell>
          <cell r="M15">
            <v>2652456.7329668389</v>
          </cell>
        </row>
        <row r="16">
          <cell r="L16">
            <v>69167855.786062509</v>
          </cell>
          <cell r="M16">
            <v>28678135.347793434</v>
          </cell>
        </row>
        <row r="17">
          <cell r="L17">
            <v>47323686.996511288</v>
          </cell>
          <cell r="M17">
            <v>6106453.4148005843</v>
          </cell>
        </row>
        <row r="18">
          <cell r="L18">
            <v>15968922.128663957</v>
          </cell>
          <cell r="M18">
            <v>57791.859608527018</v>
          </cell>
        </row>
        <row r="19">
          <cell r="L19">
            <v>45626857.493466511</v>
          </cell>
          <cell r="M19">
            <v>2927582.6447823038</v>
          </cell>
        </row>
        <row r="20">
          <cell r="L20">
            <v>18048748.80295201</v>
          </cell>
          <cell r="M20">
            <v>11460562.463175777</v>
          </cell>
        </row>
        <row r="21">
          <cell r="L21">
            <v>5860781.708562091</v>
          </cell>
          <cell r="M21">
            <v>-0.16493334508882518</v>
          </cell>
        </row>
        <row r="22">
          <cell r="L22">
            <v>16610712.642122922</v>
          </cell>
          <cell r="M22">
            <v>7114751.2055932935</v>
          </cell>
        </row>
        <row r="23">
          <cell r="L23">
            <v>6915684.3187039699</v>
          </cell>
          <cell r="M23">
            <v>98935.459999999992</v>
          </cell>
        </row>
        <row r="24">
          <cell r="L24">
            <v>12575962.256625438</v>
          </cell>
          <cell r="M24">
            <v>-43854.555119404416</v>
          </cell>
        </row>
        <row r="25">
          <cell r="L25">
            <v>14578557.029761061</v>
          </cell>
          <cell r="M25">
            <v>0.12828148830158587</v>
          </cell>
        </row>
        <row r="26">
          <cell r="L26">
            <v>9170189.8055356443</v>
          </cell>
          <cell r="M26">
            <v>0</v>
          </cell>
        </row>
        <row r="27">
          <cell r="N27">
            <v>27106382.406900004</v>
          </cell>
        </row>
        <row r="28">
          <cell r="N28">
            <v>18794624.054700002</v>
          </cell>
        </row>
        <row r="45">
          <cell r="N45">
            <v>6935705.9100000001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2017_2021"/>
      <sheetName val="Resumen 2013_2017"/>
      <sheetName val="IPCT VNR_FA"/>
      <sheetName val="VERIFICACIÓN DE INGRESOS"/>
      <sheetName val="SALIDAS Y TRANSFORMACION"/>
      <sheetName val="N de Instalaciones"/>
      <sheetName val=" VNR"/>
      <sheetName val="VNR consulta (015 17)"/>
      <sheetName val="Ingreso Conexion (1er sem)"/>
      <sheetName val="CX cxj Año1 "/>
      <sheetName val="CX cxj Año2"/>
      <sheetName val="CX cxj Año3"/>
      <sheetName val="CX cxj Año4"/>
      <sheetName val="Parámetros de eficiencia"/>
    </sheetNames>
    <sheetDataSet>
      <sheetData sheetId="0"/>
      <sheetData sheetId="1"/>
      <sheetData sheetId="2">
        <row r="2">
          <cell r="C2">
            <v>7.7600000000000002E-2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er"/>
      <sheetName val="RESUMEN"/>
      <sheetName val="BasePrecios"/>
      <sheetName val="SABANITAS 230 SPT"/>
      <sheetName val="PANAMA III 230 KV SPT "/>
      <sheetName val="PANAMA II 230"/>
      <sheetName val="PANAMA II 115"/>
      <sheetName val="PANAMA 230"/>
      <sheetName val="PANAMA 115"/>
      <sheetName val="CHORRERA 230"/>
      <sheetName val="EL HIGO 230 "/>
      <sheetName val="LL. SANCHEZ 230"/>
      <sheetName val="VELADERO"/>
      <sheetName val="GUASQUITAS"/>
      <sheetName val="MDN 230"/>
      <sheetName val="MDN 115"/>
      <sheetName val="PROGRESO 230"/>
      <sheetName val="FORTUNA NAVE 3"/>
      <sheetName val="LA ESPERANZA NAVE 1"/>
      <sheetName val="BELLA VISTA NAVE 2"/>
      <sheetName val="CAÑAZAS 230"/>
      <sheetName val="CHANGUINOLA 230"/>
      <sheetName val="CACERES 115"/>
      <sheetName val="STA. RITA 115"/>
      <sheetName val="CALDERA 115"/>
    </sheetNames>
    <sheetDataSet>
      <sheetData sheetId="0" refreshError="1"/>
      <sheetData sheetId="1" refreshError="1"/>
      <sheetData sheetId="2">
        <row r="2">
          <cell r="B2" t="str">
            <v>DESCRIPCION</v>
          </cell>
          <cell r="C2" t="str">
            <v>Costo Unitario Suministro B/.</v>
          </cell>
        </row>
        <row r="3">
          <cell r="B3" t="str">
            <v>Autotransformador 100 MVA 230/115 kV</v>
          </cell>
          <cell r="C3">
            <v>4757661.7903631963</v>
          </cell>
        </row>
        <row r="4">
          <cell r="B4" t="str">
            <v>Autotransformador 100 MVA 230/115/34.5 kV</v>
          </cell>
          <cell r="C4">
            <v>4757661.7903631963</v>
          </cell>
        </row>
        <row r="5">
          <cell r="B5" t="str">
            <v>Autotransformador 120 MVA 230/22.2 kV</v>
          </cell>
          <cell r="C5">
            <v>3620402.6201150413</v>
          </cell>
        </row>
        <row r="6">
          <cell r="B6" t="str">
            <v>Autotransformador 150 MVA 230/115/34.5 kV</v>
          </cell>
          <cell r="C6">
            <v>4013761.3411554666</v>
          </cell>
        </row>
        <row r="7">
          <cell r="B7" t="str">
            <v>Autotransformador 175 MVA 230/115/13.8 kV</v>
          </cell>
          <cell r="C7">
            <v>3582225.7333789859</v>
          </cell>
        </row>
        <row r="8">
          <cell r="B8" t="str">
            <v>Autotransformador 175 MVA 230/115/34.5 kV</v>
          </cell>
          <cell r="C8">
            <v>3582225.7333789859</v>
          </cell>
        </row>
        <row r="9">
          <cell r="B9" t="str">
            <v>Autotransformador 350 MVA 230/115 kV</v>
          </cell>
          <cell r="C9">
            <v>4451344.7760429019</v>
          </cell>
        </row>
        <row r="10">
          <cell r="B10" t="str">
            <v>Autotransformador 350 MVA 230/115/13.8 kV</v>
          </cell>
          <cell r="C10">
            <v>4451344.7760429019</v>
          </cell>
        </row>
        <row r="11">
          <cell r="B11" t="str">
            <v>Autotransformador 50 MVA 230/115/34.5 kV</v>
          </cell>
          <cell r="C11">
            <v>2085688.4381467793</v>
          </cell>
        </row>
        <row r="12">
          <cell r="B12" t="str">
            <v>Autotransformador 62.5 MVA 115/34.5 kV</v>
          </cell>
          <cell r="C12">
            <v>2373249.3612632807</v>
          </cell>
        </row>
        <row r="13">
          <cell r="B13" t="str">
            <v>Autotransformador 70 MVA 230/115/34.5 kV</v>
          </cell>
          <cell r="C13">
            <v>1975511.6314946085</v>
          </cell>
        </row>
        <row r="14">
          <cell r="B14" t="str">
            <v>Banco de Capacitores 20 MVAR 115 kV</v>
          </cell>
          <cell r="C14">
            <v>356921.7807948587</v>
          </cell>
        </row>
        <row r="15">
          <cell r="B15" t="str">
            <v>Banco de Capacitores 30 MVAR 230 kV</v>
          </cell>
          <cell r="C15">
            <v>535382.67119228805</v>
          </cell>
        </row>
        <row r="16">
          <cell r="B16" t="str">
            <v>Cuchilla Manual Monopolar 230 kV</v>
          </cell>
          <cell r="C16">
            <v>19422.68870866338</v>
          </cell>
        </row>
        <row r="17">
          <cell r="B17" t="str">
            <v>Cuchilla Manual Monopolar 34.5 kV</v>
          </cell>
          <cell r="C17">
            <v>17667.875881687312</v>
          </cell>
        </row>
        <row r="18">
          <cell r="B18" t="str">
            <v>Cuchilla Manual Tetrapolar 115 kV</v>
          </cell>
          <cell r="C18">
            <v>10244.845029736616</v>
          </cell>
        </row>
        <row r="19">
          <cell r="B19" t="str">
            <v>Cuchilla Motorizada Tetrapolar PT 115 kV</v>
          </cell>
          <cell r="C19">
            <v>22771.574114353967</v>
          </cell>
        </row>
        <row r="20">
          <cell r="B20" t="str">
            <v>Cuchilla Manual Tetrapolar 230 kV</v>
          </cell>
          <cell r="C20">
            <v>16043.381478334746</v>
          </cell>
        </row>
        <row r="21">
          <cell r="B21" t="str">
            <v>Cuchilla Motorizada Tetrapolar PT 230 kV</v>
          </cell>
          <cell r="C21">
            <v>27502.939677145281</v>
          </cell>
        </row>
        <row r="22">
          <cell r="B22" t="str">
            <v>Cuchilla Manual Trifásico Tripolar 115 kV</v>
          </cell>
          <cell r="C22">
            <v>14517.168289484096</v>
          </cell>
        </row>
        <row r="23">
          <cell r="B23" t="str">
            <v>Cuchilla Manual Trifásico Tripolar PT 115 kV</v>
          </cell>
          <cell r="C23">
            <v>22048.582386848648</v>
          </cell>
        </row>
        <row r="24">
          <cell r="B24" t="str">
            <v>Cuchilla Manual Trifásico Tripolar 13.8 kV</v>
          </cell>
          <cell r="C24">
            <v>8480.0730671197944</v>
          </cell>
        </row>
        <row r="25">
          <cell r="B25" t="str">
            <v>Cuchilla Manual Trifásico Tripolar 230 kV</v>
          </cell>
          <cell r="C25">
            <v>19422.68870866338</v>
          </cell>
        </row>
        <row r="26">
          <cell r="B26" t="str">
            <v>Cuchilla Manual Trifásico Tripolar PT 230 kV</v>
          </cell>
          <cell r="C26">
            <v>23307.226450396054</v>
          </cell>
        </row>
        <row r="27">
          <cell r="B27" t="str">
            <v>Cuchilla Manual Trifásico Tripolar 34.5 kV</v>
          </cell>
          <cell r="C27">
            <v>17667.875881687312</v>
          </cell>
        </row>
        <row r="28">
          <cell r="B28" t="str">
            <v>Cuchilla Manual Trifásico Tripolar PT 34.5 kV</v>
          </cell>
          <cell r="C28">
            <v>16274.709915919111</v>
          </cell>
        </row>
        <row r="29">
          <cell r="B29" t="str">
            <v>Cuchilla Motorizada Trifásico Tripolar 115 kV</v>
          </cell>
          <cell r="C29">
            <v>20134.448986757969</v>
          </cell>
        </row>
        <row r="30">
          <cell r="B30" t="str">
            <v>Cuchilla Motorizada Trifásico Tripolar PT 115 kV</v>
          </cell>
          <cell r="C30">
            <v>19217.06603234453</v>
          </cell>
        </row>
        <row r="31">
          <cell r="B31" t="str">
            <v>Cuchilla Motorizada Trifásico Tripolar 22.2 kV</v>
          </cell>
          <cell r="C31">
            <v>10313.60237892948</v>
          </cell>
        </row>
        <row r="32">
          <cell r="B32" t="str">
            <v>Cuchilla Motorizada Trifásico Tripolar PT 22.2 kV</v>
          </cell>
          <cell r="C32">
            <v>12376.322854715376</v>
          </cell>
        </row>
        <row r="33">
          <cell r="B33" t="str">
            <v>Cuchilla Motorizada Trifásico Tripolar 230 kV</v>
          </cell>
          <cell r="C33">
            <v>27502.939677145281</v>
          </cell>
        </row>
        <row r="34">
          <cell r="B34" t="str">
            <v>Cuchilla Motorizada Trifásico Tripolar PT 230 kV</v>
          </cell>
          <cell r="C34">
            <v>49690.224289015481</v>
          </cell>
        </row>
        <row r="35">
          <cell r="B35" t="str">
            <v>Cuchilla Motorizada Trifásico Tripolar 34.5 kV</v>
          </cell>
          <cell r="C35">
            <v>11344.617260273973</v>
          </cell>
        </row>
        <row r="36">
          <cell r="B36" t="str">
            <v>Cuchilla Motorizada Trifásico Tripolar PT 34.5 kV</v>
          </cell>
          <cell r="C36">
            <v>13613.540712328768</v>
          </cell>
        </row>
        <row r="37">
          <cell r="B37" t="str">
            <v>Cuchilla Motorizada GIS Trifásico Tripolar 192 kV</v>
          </cell>
          <cell r="C37">
            <v>70328.25</v>
          </cell>
        </row>
        <row r="38">
          <cell r="B38" t="str">
            <v>Cuchilla Motorizada GIS Trifásico Tripolar 230 kV</v>
          </cell>
          <cell r="C38">
            <v>77624.997963459333</v>
          </cell>
        </row>
        <row r="39">
          <cell r="B39" t="str">
            <v>Cuchilla Motorizada GIS Trifásico Tripolar PT 230 kV</v>
          </cell>
          <cell r="C39">
            <v>97031.24745432417</v>
          </cell>
        </row>
        <row r="40">
          <cell r="B40" t="str">
            <v>Interruptor de Gabinete Trifásico Tripolar 13.8 kV</v>
          </cell>
          <cell r="C40">
            <v>38214.471438921231</v>
          </cell>
        </row>
        <row r="41">
          <cell r="B41" t="str">
            <v>Interruptor GIS Monopolar 230 kV</v>
          </cell>
          <cell r="C41">
            <v>428442.49444774626</v>
          </cell>
        </row>
        <row r="42">
          <cell r="B42" t="str">
            <v>Interruptor Tanque Muerto Monopolar 230 kV</v>
          </cell>
          <cell r="C42">
            <v>275142.96506206214</v>
          </cell>
        </row>
        <row r="43">
          <cell r="B43" t="str">
            <v>Interruptor Tanque Muerto Trifásico Tripolar 115 kV</v>
          </cell>
          <cell r="C43">
            <v>205952.18618756157</v>
          </cell>
        </row>
        <row r="44">
          <cell r="B44" t="str">
            <v>Interruptor Tanque Muerto Trifásico Tripolar 230 kV</v>
          </cell>
          <cell r="C44">
            <v>142098.52166525062</v>
          </cell>
        </row>
        <row r="45">
          <cell r="B45" t="str">
            <v>Interruptor Tanque Muerto Trifásico Tripolar 34.5 kV</v>
          </cell>
          <cell r="C45">
            <v>121272.17948155201</v>
          </cell>
        </row>
        <row r="46">
          <cell r="B46" t="str">
            <v>Interruptor Tanque Vivo Monopolar 115 kV</v>
          </cell>
          <cell r="C46">
            <v>161710.61875691576</v>
          </cell>
        </row>
        <row r="47">
          <cell r="B47" t="str">
            <v>Interruptor Tanque Vivo Monopolar 230 kV</v>
          </cell>
          <cell r="C47">
            <v>156209.08734740643</v>
          </cell>
        </row>
        <row r="48">
          <cell r="B48" t="str">
            <v>Interruptor Tanque Vivo Trifásico Tripolar 115 kV</v>
          </cell>
          <cell r="C48">
            <v>98769.932115547985</v>
          </cell>
        </row>
        <row r="49">
          <cell r="B49" t="str">
            <v>Interruptor Tanque Vivo Trifásico Tripolar 22.2 kV</v>
          </cell>
          <cell r="C49">
            <v>68757.349192863199</v>
          </cell>
        </row>
        <row r="50">
          <cell r="B50" t="str">
            <v>Interruptor Tanque Vivo Trifásico Tripolar 230 kV</v>
          </cell>
          <cell r="C50">
            <v>142098.52166525062</v>
          </cell>
        </row>
        <row r="51">
          <cell r="B51" t="str">
            <v>Interruptor Tanque Vivo Trifásico Tripolar 34.5 kV</v>
          </cell>
          <cell r="C51">
            <v>68757.349192863199</v>
          </cell>
        </row>
        <row r="52">
          <cell r="B52" t="str">
            <v>Pararrayo  192 kV</v>
          </cell>
          <cell r="C52">
            <v>5264</v>
          </cell>
        </row>
        <row r="53">
          <cell r="B53" t="str">
            <v>Pararrayo  22.2 kV</v>
          </cell>
          <cell r="C53">
            <v>1682.2631435853864</v>
          </cell>
        </row>
        <row r="54">
          <cell r="B54" t="str">
            <v>Pararrayo  34.5 kV</v>
          </cell>
          <cell r="C54">
            <v>1603.711978414457</v>
          </cell>
        </row>
        <row r="55">
          <cell r="B55" t="str">
            <v>Pararrayo  96 kV</v>
          </cell>
          <cell r="C55">
            <v>2044.8180299915036</v>
          </cell>
        </row>
        <row r="56">
          <cell r="B56" t="str">
            <v>Reactor 20 MVAR 115 kV</v>
          </cell>
          <cell r="C56">
            <v>1077398.5642924428</v>
          </cell>
        </row>
        <row r="57">
          <cell r="B57" t="str">
            <v>Reactor 20 MVAR 230 kV</v>
          </cell>
          <cell r="C57">
            <v>1077398.5642924428</v>
          </cell>
        </row>
        <row r="58">
          <cell r="B58" t="str">
            <v>Reactor 20 MVAR 34.5 kV</v>
          </cell>
          <cell r="C58">
            <v>985813.84434884635</v>
          </cell>
        </row>
        <row r="59">
          <cell r="B59" t="str">
            <v>Reactor 30 MVAR 230 kV</v>
          </cell>
          <cell r="C59">
            <v>1616097.846438664</v>
          </cell>
        </row>
        <row r="60">
          <cell r="B60" t="str">
            <v>Reactor 60 MVAR 22.2 kV</v>
          </cell>
          <cell r="C60">
            <v>2957441.5330465389</v>
          </cell>
        </row>
        <row r="61">
          <cell r="B61" t="str">
            <v>Reactor ONAN 20 MVAR 230 kV</v>
          </cell>
          <cell r="C61">
            <v>1077398.5642924428</v>
          </cell>
        </row>
        <row r="62">
          <cell r="B62" t="str">
            <v>STATCOM 60 MVAR 22.2 kV</v>
          </cell>
          <cell r="C62">
            <v>2957441.5330465389</v>
          </cell>
        </row>
        <row r="63">
          <cell r="B63" t="str">
            <v>Transformador de Corriente 115 kV</v>
          </cell>
          <cell r="C63">
            <v>9989.24</v>
          </cell>
        </row>
        <row r="64">
          <cell r="B64" t="str">
            <v>Transformador de Corriente 22.2 kV</v>
          </cell>
          <cell r="C64">
            <v>11336.859210011731</v>
          </cell>
        </row>
        <row r="65">
          <cell r="B65" t="str">
            <v>Transformador de Corriente 230 kV</v>
          </cell>
          <cell r="C65">
            <v>21631.106835628019</v>
          </cell>
        </row>
        <row r="66">
          <cell r="B66" t="str">
            <v>Transformador de Corriente 34.5 kV</v>
          </cell>
          <cell r="C66">
            <v>18791.852962066183</v>
          </cell>
        </row>
        <row r="67">
          <cell r="B67" t="str">
            <v>Transformador de Potencia 24 MVA 4.16/115 kV</v>
          </cell>
          <cell r="C67">
            <v>1063055.5207550856</v>
          </cell>
        </row>
        <row r="68">
          <cell r="B68" t="str">
            <v>Transformador de Potencia 83.33 MVA 230/34.5 kV</v>
          </cell>
          <cell r="C68">
            <v>2351705.489320653</v>
          </cell>
        </row>
        <row r="69">
          <cell r="B69" t="str">
            <v>Transformador de Servicios Auxiliares 115 kV</v>
          </cell>
          <cell r="C69">
            <v>12000</v>
          </cell>
        </row>
        <row r="70">
          <cell r="B70" t="str">
            <v>Transformador de Servicios Auxiliares 115 kV/208V</v>
          </cell>
          <cell r="C70">
            <v>12000</v>
          </cell>
        </row>
        <row r="71">
          <cell r="B71" t="str">
            <v>Transformador de Servicios Auxiliares 22.2 kV/208/120V</v>
          </cell>
          <cell r="C71">
            <v>6000</v>
          </cell>
        </row>
        <row r="72">
          <cell r="B72" t="str">
            <v>Transformador de Servicios Auxiliares 225 kVA 13.8 kV/208/120 V</v>
          </cell>
          <cell r="C72">
            <v>13500</v>
          </cell>
        </row>
        <row r="73">
          <cell r="B73" t="str">
            <v>Transformador de Servicios Auxiliares 250 kVA 13.8 kV/208/120 V</v>
          </cell>
          <cell r="C73">
            <v>15000</v>
          </cell>
        </row>
        <row r="74">
          <cell r="B74" t="str">
            <v>Transformador de Servicios Auxiliares 34.5 kV</v>
          </cell>
          <cell r="C74">
            <v>6000</v>
          </cell>
        </row>
        <row r="75">
          <cell r="B75" t="str">
            <v>Transformador de Servicios Auxiliares 34.5 kV/208/120V</v>
          </cell>
          <cell r="C75">
            <v>6000</v>
          </cell>
        </row>
        <row r="76">
          <cell r="B76" t="str">
            <v>Transformador de Servicios Auxiliares 34.5 kV/240/120V</v>
          </cell>
          <cell r="C76">
            <v>6000</v>
          </cell>
        </row>
        <row r="77">
          <cell r="B77" t="str">
            <v>Transformador de Tierra 19.9 MVA 34.5 kV</v>
          </cell>
          <cell r="C77">
            <v>871897.57789075735</v>
          </cell>
        </row>
        <row r="78">
          <cell r="B78" t="str">
            <v>Transformador de Tierra 25.4 kVA 22.2 kV</v>
          </cell>
          <cell r="C78">
            <v>2032</v>
          </cell>
        </row>
        <row r="79">
          <cell r="B79" t="str">
            <v>Transformador de Tierra 5 MVA 34.5 kV</v>
          </cell>
          <cell r="C79">
            <v>262883.69182635902</v>
          </cell>
        </row>
        <row r="80">
          <cell r="B80" t="str">
            <v>Transformador de Tierra 5976 kVA 34.5 kV</v>
          </cell>
          <cell r="C80">
            <v>262883.69182635902</v>
          </cell>
        </row>
        <row r="81">
          <cell r="B81" t="str">
            <v>Transformador de Voltaje 115 kV</v>
          </cell>
          <cell r="C81">
            <v>10962.693156923993</v>
          </cell>
        </row>
        <row r="82">
          <cell r="B82" t="str">
            <v>Transformador de Voltaje 22.2 kV</v>
          </cell>
          <cell r="C82">
            <v>11131.481325772389</v>
          </cell>
        </row>
        <row r="83">
          <cell r="B83" t="str">
            <v>Transformador de Voltaje 230 kV</v>
          </cell>
          <cell r="C83">
            <v>17092.296507490959</v>
          </cell>
        </row>
        <row r="84">
          <cell r="B84" t="str">
            <v>Transformador de Voltaje 34.5 kV</v>
          </cell>
          <cell r="C84">
            <v>14360.571063796157</v>
          </cell>
        </row>
        <row r="85">
          <cell r="B85" t="str">
            <v>Transformador  de Potencia 83.33 MVA 230/34.5 kV</v>
          </cell>
          <cell r="C85">
            <v>2351705.489320653</v>
          </cell>
        </row>
        <row r="86">
          <cell r="B86" t="str">
            <v>Transformador GIS de Corriente 230 kV</v>
          </cell>
          <cell r="C86">
            <v>20948.544192412985</v>
          </cell>
        </row>
        <row r="87">
          <cell r="B87" t="str">
            <v>Transformador GIS de Voltaje 230 kV</v>
          </cell>
          <cell r="C87">
            <v>17092.296507490959</v>
          </cell>
        </row>
        <row r="88">
          <cell r="B88" t="str">
            <v>Barra</v>
          </cell>
          <cell r="C88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PANAMA II 230"/>
      <sheetName val="PANAMA II 115"/>
      <sheetName val="PANAMA 230"/>
      <sheetName val="PANAMA 115"/>
      <sheetName val="CHORRERA 230"/>
      <sheetName val="EL HIGO 230 "/>
      <sheetName val="LL. SANCHEZ 230"/>
      <sheetName val="VELADERO"/>
      <sheetName val="GUASQUITAS"/>
      <sheetName val="MDN 230"/>
      <sheetName val="MDN 115"/>
      <sheetName val="PROGRESO 230"/>
      <sheetName val="FORTUNA NAVE 3"/>
      <sheetName val="LA ESPERANZA NAVE 1"/>
      <sheetName val="BELLA VISTA NAVE 2"/>
      <sheetName val="CAÑAZAS 230"/>
      <sheetName val="CHANGUINOLA 230"/>
      <sheetName val="CACERES 115"/>
      <sheetName val="STA. RITA 115"/>
      <sheetName val="CALDERA 115"/>
    </sheetNames>
    <sheetDataSet>
      <sheetData sheetId="0"/>
      <sheetData sheetId="1">
        <row r="41">
          <cell r="C41">
            <v>335</v>
          </cell>
        </row>
      </sheetData>
      <sheetData sheetId="2">
        <row r="41">
          <cell r="C41">
            <v>285</v>
          </cell>
        </row>
      </sheetData>
      <sheetData sheetId="3">
        <row r="41">
          <cell r="C41">
            <v>184</v>
          </cell>
        </row>
      </sheetData>
      <sheetData sheetId="4">
        <row r="41">
          <cell r="C41">
            <v>352</v>
          </cell>
        </row>
      </sheetData>
      <sheetData sheetId="5">
        <row r="41">
          <cell r="C41">
            <v>184</v>
          </cell>
        </row>
      </sheetData>
      <sheetData sheetId="6">
        <row r="41">
          <cell r="C41">
            <v>111</v>
          </cell>
        </row>
      </sheetData>
      <sheetData sheetId="7">
        <row r="41">
          <cell r="C41">
            <v>422</v>
          </cell>
        </row>
      </sheetData>
      <sheetData sheetId="8">
        <row r="41">
          <cell r="C41">
            <v>294</v>
          </cell>
        </row>
      </sheetData>
      <sheetData sheetId="9">
        <row r="41">
          <cell r="C41">
            <v>112</v>
          </cell>
        </row>
      </sheetData>
      <sheetData sheetId="10">
        <row r="41">
          <cell r="C41">
            <v>142</v>
          </cell>
        </row>
      </sheetData>
      <sheetData sheetId="11">
        <row r="41">
          <cell r="C41">
            <v>92</v>
          </cell>
        </row>
      </sheetData>
      <sheetData sheetId="12">
        <row r="41">
          <cell r="C41">
            <v>68</v>
          </cell>
        </row>
      </sheetData>
      <sheetData sheetId="13">
        <row r="41">
          <cell r="C41">
            <v>41</v>
          </cell>
        </row>
      </sheetData>
      <sheetData sheetId="14">
        <row r="41">
          <cell r="C41">
            <v>41</v>
          </cell>
        </row>
      </sheetData>
      <sheetData sheetId="15">
        <row r="41">
          <cell r="C41">
            <v>41</v>
          </cell>
        </row>
      </sheetData>
      <sheetData sheetId="16">
        <row r="41">
          <cell r="C41">
            <v>54</v>
          </cell>
        </row>
      </sheetData>
      <sheetData sheetId="17">
        <row r="41">
          <cell r="C41">
            <v>85</v>
          </cell>
        </row>
      </sheetData>
      <sheetData sheetId="18">
        <row r="41">
          <cell r="C41">
            <v>133</v>
          </cell>
        </row>
      </sheetData>
      <sheetData sheetId="19">
        <row r="41">
          <cell r="C41">
            <v>151</v>
          </cell>
        </row>
      </sheetData>
      <sheetData sheetId="20">
        <row r="41">
          <cell r="C41">
            <v>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 Existente"/>
      <sheetName val="Factor ajuste"/>
      <sheetName val="IMPA Indicativo"/>
      <sheetName val="Sensibilidad"/>
      <sheetName val="Activos Reconocidos"/>
      <sheetName val="Tasa de Depreciación"/>
      <sheetName val="Base de Capital"/>
      <sheetName val="BS01_BS02"/>
      <sheetName val="INVNE_Conex"/>
      <sheetName val="OMT%_ADMT%"/>
      <sheetName val="VNR_Lin"/>
      <sheetName val="VNR_Sub"/>
      <sheetName val="AdicionesVNR_actualiz"/>
      <sheetName val="servidumbres"/>
      <sheetName val="Plan de Expansión"/>
      <sheetName val="Comparacion_adiciones"/>
      <sheetName val="Adiciones"/>
      <sheetName val="Sabanitas_PanamaIII"/>
      <sheetName val="Base ETESA"/>
      <sheetName val="CND"/>
      <sheetName val="CTPR"/>
      <sheetName val="Tercera Línea"/>
      <sheetName val="Bienes e Instalaciones 31_12_20"/>
      <sheetName val="Homologadores"/>
      <sheetName val="CEMIG-GT"/>
      <sheetName val="Transelec"/>
      <sheetName val="ISA REP"/>
      <sheetName val="Ratios comparadores"/>
      <sheetName val="Cuadro Informe"/>
    </sheetNames>
    <sheetDataSet>
      <sheetData sheetId="0"/>
      <sheetData sheetId="1"/>
      <sheetData sheetId="2">
        <row r="14">
          <cell r="D14">
            <v>9.4600000000000004E-2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 Existente"/>
      <sheetName val="IMPA Indicativo"/>
      <sheetName val="Activos Reconocidos"/>
      <sheetName val="Tasa de Depreciación"/>
      <sheetName val="Base de Capital"/>
      <sheetName val="Anexo Activos_Depreciaciones"/>
      <sheetName val="Plan de Expansión"/>
      <sheetName val="Tercera Línea"/>
      <sheetName val="VNR"/>
      <sheetName val="CND_HID"/>
      <sheetName val="GEN_OBL"/>
      <sheetName val="Bienes e Instalaciones 31_12_16"/>
      <sheetName val="Conso Altas 2013_2016"/>
      <sheetName val="IMP RevTar_2013_2017"/>
      <sheetName val="Cuadro Informe"/>
    </sheetNames>
    <sheetDataSet>
      <sheetData sheetId="0">
        <row r="133">
          <cell r="E133">
            <v>4072.7023847139099</v>
          </cell>
        </row>
      </sheetData>
      <sheetData sheetId="1">
        <row r="13">
          <cell r="D13">
            <v>7.7600000000000002E-2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</sheetData>
      <sheetData sheetId="2">
        <row r="264">
          <cell r="C264">
            <v>702522925.19525671</v>
          </cell>
        </row>
      </sheetData>
      <sheetData sheetId="3"/>
      <sheetData sheetId="4"/>
      <sheetData sheetId="5"/>
      <sheetData sheetId="6">
        <row r="10">
          <cell r="C10">
            <v>25433</v>
          </cell>
          <cell r="D10">
            <v>14605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 Base capital completa"/>
      <sheetName val="IMP O&amp;M promedio anterior"/>
      <sheetName val="IMP tasa 12.24%"/>
      <sheetName val="Graficas"/>
      <sheetName val="IMP"/>
      <sheetName val="Hidrometeorología"/>
      <sheetName val="Activos"/>
      <sheetName val="Hoja1"/>
      <sheetName val="Bienes 2004"/>
      <sheetName val="VNR"/>
      <sheetName val="VNR Líneas"/>
      <sheetName val="Compara Valor libros-vs-VNR"/>
      <sheetName val="VNR SE"/>
      <sheetName val="Inversión-Resumen"/>
      <sheetName val="Inversiones"/>
      <sheetName val="Retiros"/>
      <sheetName val="CND"/>
      <sheetName val="Informática"/>
      <sheetName val="Hoja2"/>
      <sheetName val="RRT"/>
      <sheetName val="#¡REF"/>
      <sheetName val="IMP-Ajuste-Fechas"/>
      <sheetName val="IMP-APROBADO"/>
    </sheetNames>
    <sheetDataSet>
      <sheetData sheetId="0"/>
      <sheetData sheetId="1">
        <row r="14">
          <cell r="D14">
            <v>2000.9</v>
          </cell>
        </row>
      </sheetData>
      <sheetData sheetId="2"/>
      <sheetData sheetId="3"/>
      <sheetData sheetId="4">
        <row r="14">
          <cell r="D14">
            <v>2000.9</v>
          </cell>
        </row>
      </sheetData>
      <sheetData sheetId="5"/>
      <sheetData sheetId="6"/>
      <sheetData sheetId="7">
        <row r="14">
          <cell r="D14">
            <v>2000.9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PT"/>
      <sheetName val="IPSPT"/>
      <sheetName val="IPCT"/>
      <sheetName val="ACTIVOS"/>
      <sheetName val="VNR"/>
      <sheetName val="ADMT%-OMT%"/>
      <sheetName val="RRT"/>
      <sheetName val="CND"/>
      <sheetName val="Hidromet.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>
        <row r="14">
          <cell r="D14">
            <v>7.85E-2</v>
          </cell>
        </row>
      </sheetData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 Existente"/>
      <sheetName val="IMPA Indicativo"/>
      <sheetName val="Activos Reconocidos"/>
      <sheetName val="Tasa de Depreciación"/>
      <sheetName val="Base de Capital"/>
      <sheetName val="Plan de Expansión"/>
      <sheetName val="Tercera Línea"/>
      <sheetName val="VNR"/>
      <sheetName val="CND_HID"/>
      <sheetName val="GEN_OBL"/>
      <sheetName val="Anexo Activos_Depreciaciones"/>
      <sheetName val="Bienes e Instalaciones 31_12_16"/>
      <sheetName val="Conso Altas 2013_2016"/>
      <sheetName val="IMP RevTar_2013_2017"/>
      <sheetName val="Cuadro Informe"/>
    </sheetNames>
    <sheetDataSet>
      <sheetData sheetId="0"/>
      <sheetData sheetId="1">
        <row r="26">
          <cell r="D26">
            <v>0</v>
          </cell>
        </row>
      </sheetData>
      <sheetData sheetId="2">
        <row r="62">
          <cell r="C62">
            <v>204259966.1240339</v>
          </cell>
        </row>
      </sheetData>
      <sheetData sheetId="3"/>
      <sheetData sheetId="4"/>
      <sheetData sheetId="5"/>
      <sheetData sheetId="6"/>
      <sheetData sheetId="7">
        <row r="30">
          <cell r="F30">
            <v>327250502.4926365</v>
          </cell>
        </row>
        <row r="36">
          <cell r="F36">
            <v>36672308.815588608</v>
          </cell>
        </row>
        <row r="46">
          <cell r="G46">
            <v>65601620.907903925</v>
          </cell>
        </row>
        <row r="62">
          <cell r="Q62">
            <v>375272422.70262027</v>
          </cell>
        </row>
      </sheetData>
      <sheetData sheetId="8">
        <row r="12">
          <cell r="D12">
            <v>2017</v>
          </cell>
        </row>
      </sheetData>
      <sheetData sheetId="9">
        <row r="7">
          <cell r="E7">
            <v>2017</v>
          </cell>
        </row>
      </sheetData>
      <sheetData sheetId="10"/>
      <sheetData sheetId="11"/>
      <sheetData sheetId="12"/>
      <sheetData sheetId="13">
        <row r="53">
          <cell r="D53">
            <v>205159.74981340076</v>
          </cell>
        </row>
      </sheetData>
      <sheetData sheetId="1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 Base capital completa"/>
      <sheetName val="IMP O&amp;M promedio anterior"/>
      <sheetName val="IMP tasa 12.24%"/>
      <sheetName val="Graficas"/>
      <sheetName val="IMP"/>
      <sheetName val="Hidrometeorología"/>
      <sheetName val="Activos"/>
      <sheetName val="Hoja1"/>
      <sheetName val="Bienes 2004"/>
      <sheetName val="VNR"/>
      <sheetName val="VNR Líneas"/>
      <sheetName val="Compara Valor libros-vs-VNR"/>
      <sheetName val="VNR SE"/>
      <sheetName val="Inversión-Resumen"/>
      <sheetName val="Inversiones"/>
      <sheetName val="Retiros"/>
      <sheetName val="CND"/>
      <sheetName val="Informática"/>
      <sheetName val="Hoja2"/>
      <sheetName val="RRT"/>
      <sheetName val="#¡REF"/>
      <sheetName val="IMP-Ajuste-Fechas"/>
      <sheetName val="IMP-APROBADO"/>
    </sheetNames>
    <sheetDataSet>
      <sheetData sheetId="0"/>
      <sheetData sheetId="1">
        <row r="14">
          <cell r="D14">
            <v>2000.9</v>
          </cell>
        </row>
      </sheetData>
      <sheetData sheetId="2"/>
      <sheetData sheetId="3"/>
      <sheetData sheetId="4">
        <row r="14">
          <cell r="D14">
            <v>2000.9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finiciones no implementadas"/>
      <sheetName val="IPCTvnr"/>
      <sheetName val="IPCT"/>
      <sheetName val="FA"/>
      <sheetName val="VNR2004"/>
      <sheetName val="Parámetros de eficiencia"/>
      <sheetName val="CX cxj  &quot;q´se incorporan&quot;"/>
      <sheetName val="Cargos - Años tarifarios"/>
      <sheetName val="CX cxj &quot;consideradas&quot;"/>
      <sheetName val="Ingresos Año1"/>
      <sheetName val="Ingresos Año2"/>
      <sheetName val="Ingresos Año3"/>
      <sheetName val="Ingresos Año4"/>
      <sheetName val="Ingresos Año5"/>
      <sheetName val="Ingresos Periodo"/>
      <sheetName val="CxC x Agen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7">
          <cell r="A7" t="str">
            <v xml:space="preserve"> Salidas de Conexión</v>
          </cell>
        </row>
        <row r="8">
          <cell r="B8" t="str">
            <v>Miles B/./Salida</v>
          </cell>
        </row>
        <row r="9">
          <cell r="B9" t="str">
            <v>Miles B/./Salida</v>
          </cell>
        </row>
        <row r="10">
          <cell r="B10" t="str">
            <v>Miles B/./Salida</v>
          </cell>
        </row>
        <row r="11">
          <cell r="B11" t="str">
            <v>Miles B/./Salida</v>
          </cell>
        </row>
        <row r="21">
          <cell r="B21" t="str">
            <v>Miles B/./km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CX cxj  "/>
      <sheetName val="VERIFICACIÓN DE INGRESOS"/>
      <sheetName val="CX cxj  expansión condicionada"/>
      <sheetName val=" VNR2007"/>
      <sheetName val="SALIDAS Y TRANSFORMACION"/>
      <sheetName val="Parámetros de eficiencia"/>
      <sheetName val="N de Instalaciones"/>
      <sheetName val="IMP"/>
      <sheetName val="IPCT"/>
      <sheetName val="FA"/>
      <sheetName val="IPCT vnr"/>
      <sheetName val="S-E Charco Azul trafo"/>
      <sheetName val="S-E CHORRERA 230"/>
      <sheetName val="S-E CHORRERA trafo"/>
      <sheetName val="S-E CHORRERA 34"/>
      <sheetName val="S-E Charco azul 115"/>
      <sheetName val="S-E LL SANCHEZ 115"/>
      <sheetName val="S-E LL SANCHEZ trafo"/>
      <sheetName val="S-E PROGRESO 115"/>
      <sheetName val="S-E PROGRESO 34"/>
      <sheetName val="S-E MATA DE NANCE 34"/>
      <sheetName val="S-E LL SANCHEZ 34"/>
    </sheetNames>
    <sheetDataSet>
      <sheetData sheetId="0" refreshError="1"/>
      <sheetData sheetId="1" refreshError="1">
        <row r="12">
          <cell r="A12" t="str">
            <v>CXS34.5 Barra Sencilla</v>
          </cell>
          <cell r="B12" t="str">
            <v>Miles B/./Salida</v>
          </cell>
        </row>
        <row r="13">
          <cell r="A13" t="str">
            <v>CXS34.5 Interruptor y Medio</v>
          </cell>
          <cell r="B13" t="str">
            <v>Miles B/./Salida</v>
          </cell>
        </row>
        <row r="14">
          <cell r="A14" t="str">
            <v>CXS115 Barra Sencilla</v>
          </cell>
          <cell r="B14" t="str">
            <v>Miles B/./Salida</v>
          </cell>
        </row>
        <row r="15">
          <cell r="A15" t="str">
            <v>CXS115 Interruptor y Medio</v>
          </cell>
          <cell r="B15" t="str">
            <v>Miles B/./Salida</v>
          </cell>
        </row>
        <row r="18">
          <cell r="A18" t="str">
            <v>CXS230 Interruptor y Medio</v>
          </cell>
          <cell r="B18" t="str">
            <v>Miles B/./Salida</v>
          </cell>
        </row>
        <row r="19">
          <cell r="A19" t="str">
            <v>Transformadores</v>
          </cell>
        </row>
        <row r="21">
          <cell r="A21" t="str">
            <v>CXTR Reductor 60/80/100 MVA</v>
          </cell>
          <cell r="B21" t="str">
            <v>Miles B/./MVA</v>
          </cell>
        </row>
        <row r="22">
          <cell r="A22" t="str">
            <v>CXTR Reductor 42/56/70 MVA</v>
          </cell>
          <cell r="B22" t="str">
            <v>Miles B/./MVA</v>
          </cell>
        </row>
        <row r="23">
          <cell r="A23" t="str">
            <v>CXTR Reductor 30/40/50 MVA</v>
          </cell>
          <cell r="B23" t="str">
            <v>Miles B/./MVA</v>
          </cell>
        </row>
        <row r="25">
          <cell r="A25" t="str">
            <v>Líneas</v>
          </cell>
        </row>
        <row r="26">
          <cell r="B26" t="str">
            <v>Miles B/./km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249977111117893"/>
  </sheetPr>
  <dimension ref="B3:L40"/>
  <sheetViews>
    <sheetView showGridLines="0" tabSelected="1" topLeftCell="A4" zoomScale="70" zoomScaleNormal="70" workbookViewId="0">
      <selection activeCell="J50" sqref="J50"/>
    </sheetView>
  </sheetViews>
  <sheetFormatPr baseColWidth="10" defaultColWidth="11.42578125" defaultRowHeight="12.75" x14ac:dyDescent="0.2"/>
  <cols>
    <col min="1" max="1" width="5.7109375" customWidth="1"/>
    <col min="2" max="2" width="49.140625" customWidth="1"/>
    <col min="3" max="3" width="16.42578125" customWidth="1"/>
    <col min="4" max="4" width="18.85546875" customWidth="1"/>
    <col min="5" max="5" width="16.42578125" customWidth="1"/>
    <col min="6" max="6" width="18.85546875" customWidth="1"/>
    <col min="7" max="7" width="16.42578125" customWidth="1"/>
    <col min="8" max="8" width="18.85546875" customWidth="1"/>
    <col min="9" max="9" width="16.42578125" customWidth="1"/>
    <col min="10" max="10" width="18.85546875" customWidth="1"/>
    <col min="11" max="11" width="7" customWidth="1"/>
  </cols>
  <sheetData>
    <row r="3" spans="2:12" ht="25.15" customHeight="1" x14ac:dyDescent="0.2">
      <c r="B3" s="1686" t="s">
        <v>117</v>
      </c>
      <c r="C3" s="1686"/>
      <c r="D3" s="1686"/>
      <c r="E3" s="1687"/>
      <c r="F3" s="1687"/>
      <c r="G3" s="1687"/>
      <c r="H3" s="1687"/>
      <c r="I3" s="1687"/>
      <c r="J3" s="1687"/>
    </row>
    <row r="4" spans="2:12" ht="22.9" customHeight="1" x14ac:dyDescent="0.2">
      <c r="B4" s="1686" t="s">
        <v>12</v>
      </c>
      <c r="C4" s="1686"/>
      <c r="D4" s="1686"/>
      <c r="E4" s="1690"/>
      <c r="F4" s="1690"/>
      <c r="G4" s="1690"/>
      <c r="H4" s="1690"/>
      <c r="I4" s="1690"/>
      <c r="J4" s="1690"/>
    </row>
    <row r="5" spans="2:12" ht="15.75" x14ac:dyDescent="0.2">
      <c r="B5" s="1688" t="s">
        <v>118</v>
      </c>
      <c r="C5" s="1688"/>
      <c r="D5" s="1688"/>
      <c r="E5" s="1689"/>
      <c r="F5" s="1689"/>
      <c r="G5" s="1689"/>
      <c r="H5" s="1689"/>
      <c r="I5" s="1689"/>
      <c r="J5" s="1689"/>
    </row>
    <row r="6" spans="2:12" ht="19.899999999999999" customHeight="1" x14ac:dyDescent="0.2">
      <c r="B6" s="1688" t="s">
        <v>126</v>
      </c>
      <c r="C6" s="1688"/>
      <c r="D6" s="1688"/>
      <c r="E6" s="1689"/>
      <c r="F6" s="1689"/>
      <c r="G6" s="1689"/>
      <c r="H6" s="1689"/>
      <c r="I6" s="1689"/>
      <c r="J6" s="1689"/>
    </row>
    <row r="7" spans="2:12" ht="15.75" x14ac:dyDescent="0.25">
      <c r="B7" s="1691" t="s">
        <v>1047</v>
      </c>
      <c r="C7" s="1691"/>
      <c r="D7" s="1691"/>
      <c r="E7" s="1691"/>
      <c r="F7" s="1691"/>
      <c r="G7" s="1691"/>
      <c r="H7" s="1691"/>
      <c r="I7" s="1691"/>
      <c r="J7" s="1691"/>
    </row>
    <row r="8" spans="2:12" ht="10.15" customHeight="1" thickBot="1" x14ac:dyDescent="0.3">
      <c r="B8" s="25"/>
      <c r="C8" s="25"/>
      <c r="D8" s="25"/>
    </row>
    <row r="9" spans="2:12" ht="18.75" thickBot="1" x14ac:dyDescent="0.3">
      <c r="B9" s="25"/>
      <c r="C9" s="1683" t="s">
        <v>935</v>
      </c>
      <c r="D9" s="1684"/>
      <c r="E9" s="1683" t="s">
        <v>936</v>
      </c>
      <c r="F9" s="1684"/>
      <c r="G9" s="1683" t="s">
        <v>937</v>
      </c>
      <c r="H9" s="1684"/>
      <c r="I9" s="1685" t="s">
        <v>938</v>
      </c>
      <c r="J9" s="1684"/>
    </row>
    <row r="10" spans="2:12" ht="26.65" customHeight="1" x14ac:dyDescent="0.2">
      <c r="B10" s="1679" t="s">
        <v>23</v>
      </c>
      <c r="C10" s="1675" t="s">
        <v>73</v>
      </c>
      <c r="D10" s="1677" t="s">
        <v>111</v>
      </c>
      <c r="E10" s="1675" t="s">
        <v>73</v>
      </c>
      <c r="F10" s="1677" t="s">
        <v>111</v>
      </c>
      <c r="G10" s="1675" t="s">
        <v>73</v>
      </c>
      <c r="H10" s="1677" t="s">
        <v>111</v>
      </c>
      <c r="I10" s="1681" t="s">
        <v>73</v>
      </c>
      <c r="J10" s="1677" t="s">
        <v>111</v>
      </c>
    </row>
    <row r="11" spans="2:12" x14ac:dyDescent="0.2">
      <c r="B11" s="1680"/>
      <c r="C11" s="1676"/>
      <c r="D11" s="1678"/>
      <c r="E11" s="1676"/>
      <c r="F11" s="1678"/>
      <c r="G11" s="1676"/>
      <c r="H11" s="1678"/>
      <c r="I11" s="1682"/>
      <c r="J11" s="1678"/>
    </row>
    <row r="12" spans="2:12" s="1292" customFormat="1" ht="23.25" customHeight="1" x14ac:dyDescent="0.2">
      <c r="B12" s="1824" t="s">
        <v>3</v>
      </c>
      <c r="C12" s="1825" t="s">
        <v>109</v>
      </c>
      <c r="D12" s="1826"/>
      <c r="E12" s="1825" t="s">
        <v>109</v>
      </c>
      <c r="F12" s="1826"/>
      <c r="G12" s="1825" t="s">
        <v>109</v>
      </c>
      <c r="H12" s="1826"/>
      <c r="I12" s="1827" t="s">
        <v>109</v>
      </c>
      <c r="J12" s="1826"/>
    </row>
    <row r="13" spans="2:12" s="1292" customFormat="1" ht="20.25" customHeight="1" x14ac:dyDescent="0.2">
      <c r="B13" s="1581" t="s">
        <v>82</v>
      </c>
      <c r="C13" s="1576">
        <f>+'CX cxj Año1 '!K12</f>
        <v>234.96703934626998</v>
      </c>
      <c r="D13" s="1577">
        <f>+'CX cxj Año1 '!M12</f>
        <v>151.5</v>
      </c>
      <c r="E13" s="1576">
        <f>'CX cxj Año2'!K12</f>
        <v>234.96703934626998</v>
      </c>
      <c r="F13" s="1577">
        <f>'CX cxj Año2'!M12</f>
        <v>151.5</v>
      </c>
      <c r="G13" s="1576">
        <f>'CX cxj Año3'!K12</f>
        <v>234.96703934626998</v>
      </c>
      <c r="H13" s="1577">
        <f>'CX cxj Año3'!M12</f>
        <v>151.5</v>
      </c>
      <c r="I13" s="1579">
        <f>'CX cxj Año4'!K12</f>
        <v>234.96703934626998</v>
      </c>
      <c r="J13" s="1577">
        <f>'CX cxj Año4'!M12</f>
        <v>151.5</v>
      </c>
      <c r="L13" s="1580"/>
    </row>
    <row r="14" spans="2:12" s="1292" customFormat="1" ht="20.25" customHeight="1" x14ac:dyDescent="0.2">
      <c r="B14" s="1581" t="s">
        <v>83</v>
      </c>
      <c r="C14" s="1576">
        <f>+'CX cxj Año1 '!K13</f>
        <v>371.42302821370487</v>
      </c>
      <c r="D14" s="1577">
        <f>+'CX cxj Año1 '!M13</f>
        <v>239.48</v>
      </c>
      <c r="E14" s="1576">
        <f>'CX cxj Año2'!K13</f>
        <v>371.42302821370487</v>
      </c>
      <c r="F14" s="1577">
        <f>'CX cxj Año2'!M13</f>
        <v>239.48</v>
      </c>
      <c r="G14" s="1576">
        <f>'CX cxj Año3'!K13</f>
        <v>371.42302821370487</v>
      </c>
      <c r="H14" s="1577">
        <f>'CX cxj Año3'!M13</f>
        <v>239.48</v>
      </c>
      <c r="I14" s="1579">
        <f>'CX cxj Año4'!K13</f>
        <v>371.42302821370487</v>
      </c>
      <c r="J14" s="1577">
        <f>'CX cxj Año4'!M13</f>
        <v>239.48</v>
      </c>
      <c r="L14" s="1580"/>
    </row>
    <row r="15" spans="2:12" s="1292" customFormat="1" ht="20.25" customHeight="1" x14ac:dyDescent="0.2">
      <c r="B15" s="1581" t="s">
        <v>84</v>
      </c>
      <c r="C15" s="1576">
        <f>+'CX cxj Año1 '!K14</f>
        <v>202.3150047591572</v>
      </c>
      <c r="D15" s="1577">
        <f>+'CX cxj Año1 '!M14</f>
        <v>130.44999999999999</v>
      </c>
      <c r="E15" s="1576">
        <f>'CX cxj Año2'!K14</f>
        <v>202.3150047591572</v>
      </c>
      <c r="F15" s="1577">
        <f>'CX cxj Año2'!M14</f>
        <v>130.44999999999999</v>
      </c>
      <c r="G15" s="1576">
        <f>'CX cxj Año3'!K14</f>
        <v>202.3150047591572</v>
      </c>
      <c r="H15" s="1577">
        <f>'CX cxj Año3'!M14</f>
        <v>130.44999999999999</v>
      </c>
      <c r="I15" s="1579">
        <f>'CX cxj Año4'!K14</f>
        <v>202.3150047591572</v>
      </c>
      <c r="J15" s="1577">
        <f>'CX cxj Año4'!M14</f>
        <v>130.44999999999999</v>
      </c>
      <c r="L15" s="1580"/>
    </row>
    <row r="16" spans="2:12" s="1292" customFormat="1" ht="20.25" customHeight="1" x14ac:dyDescent="0.2">
      <c r="B16" s="1581" t="s">
        <v>85</v>
      </c>
      <c r="C16" s="1576">
        <f>+'CX cxj Año1 '!K15</f>
        <v>430.87838308635787</v>
      </c>
      <c r="D16" s="1577">
        <f>+'CX cxj Año1 '!M15</f>
        <v>277.81</v>
      </c>
      <c r="E16" s="1576">
        <f>'CX cxj Año2'!K15</f>
        <v>430.87838308635787</v>
      </c>
      <c r="F16" s="1577">
        <f>'CX cxj Año2'!M15</f>
        <v>277.81</v>
      </c>
      <c r="G16" s="1576">
        <f>'CX cxj Año3'!K15</f>
        <v>430.87838308635787</v>
      </c>
      <c r="H16" s="1577">
        <f>'CX cxj Año3'!M15</f>
        <v>277.81</v>
      </c>
      <c r="I16" s="1579">
        <f>'CX cxj Año4'!K15</f>
        <v>430.87838308635787</v>
      </c>
      <c r="J16" s="1577">
        <f>'CX cxj Año4'!M15</f>
        <v>277.81</v>
      </c>
      <c r="L16" s="1580"/>
    </row>
    <row r="17" spans="2:12" s="1292" customFormat="1" ht="20.25" customHeight="1" x14ac:dyDescent="0.2">
      <c r="B17" s="1581" t="s">
        <v>86</v>
      </c>
      <c r="C17" s="1576">
        <f>+'CX cxj Año1 '!K16</f>
        <v>416.73883858432487</v>
      </c>
      <c r="D17" s="1577">
        <f>+'CX cxj Año1 '!M16</f>
        <v>268.7</v>
      </c>
      <c r="E17" s="1576">
        <f>'CX cxj Año2'!K16</f>
        <v>493.6049368927163</v>
      </c>
      <c r="F17" s="1577">
        <f>'CX cxj Año2'!M16</f>
        <v>318.26</v>
      </c>
      <c r="G17" s="1576">
        <f>'CX cxj Año3'!K16</f>
        <v>484.63743947627859</v>
      </c>
      <c r="H17" s="1577">
        <f>'CX cxj Año3'!M16</f>
        <v>312.48</v>
      </c>
      <c r="I17" s="1579">
        <f>'CX cxj Año4'!K16</f>
        <v>477.16452496258057</v>
      </c>
      <c r="J17" s="1577">
        <f>'CX cxj Año4'!M16</f>
        <v>307.66000000000003</v>
      </c>
      <c r="L17" s="1580"/>
    </row>
    <row r="18" spans="2:12" s="1292" customFormat="1" ht="26.25" customHeight="1" x14ac:dyDescent="0.2">
      <c r="B18" s="1824" t="s">
        <v>4</v>
      </c>
      <c r="C18" s="1825" t="s">
        <v>141</v>
      </c>
      <c r="D18" s="1826"/>
      <c r="E18" s="1825" t="s">
        <v>141</v>
      </c>
      <c r="F18" s="1826"/>
      <c r="G18" s="1825" t="s">
        <v>141</v>
      </c>
      <c r="H18" s="1826"/>
      <c r="I18" s="1827" t="s">
        <v>141</v>
      </c>
      <c r="J18" s="1826"/>
      <c r="L18" s="1580"/>
    </row>
    <row r="19" spans="2:12" s="1292" customFormat="1" ht="18.75" customHeight="1" x14ac:dyDescent="0.2">
      <c r="B19" s="1582" t="s">
        <v>134</v>
      </c>
      <c r="C19" s="1576">
        <f>+'CX cxj Año1 '!K18</f>
        <v>1.1431681507247484</v>
      </c>
      <c r="D19" s="1577">
        <f>+'CX cxj Año1 '!M18</f>
        <v>0.74</v>
      </c>
      <c r="E19" s="1576">
        <f>'CX cxj Año2'!K18</f>
        <v>1.1431681507247484</v>
      </c>
      <c r="F19" s="1577">
        <f>'CX cxj Año2'!M18</f>
        <v>0.74</v>
      </c>
      <c r="G19" s="1576">
        <f>'CX cxj Año3'!K18</f>
        <v>1.1431681507247484</v>
      </c>
      <c r="H19" s="1577">
        <f>'CX cxj Año3'!M18</f>
        <v>0.74</v>
      </c>
      <c r="I19" s="1579">
        <f>'CX cxj Año4'!K18</f>
        <v>1.1431681507247484</v>
      </c>
      <c r="J19" s="1577">
        <f>'CX cxj Año4'!M18</f>
        <v>0.74</v>
      </c>
      <c r="L19" s="1580"/>
    </row>
    <row r="20" spans="2:12" s="1292" customFormat="1" ht="16.149999999999999" hidden="1" customHeight="1" x14ac:dyDescent="0.2">
      <c r="B20" s="1583" t="s">
        <v>5</v>
      </c>
      <c r="C20" s="1576">
        <f>+'CX cxj Año1 '!K19</f>
        <v>0</v>
      </c>
      <c r="D20" s="1577">
        <f>+'CX cxj Año1 '!M19</f>
        <v>0</v>
      </c>
      <c r="E20" s="1576">
        <f>'CX cxj Año2'!K19</f>
        <v>0</v>
      </c>
      <c r="F20" s="1577">
        <f>'CX cxj Año2'!M19</f>
        <v>0</v>
      </c>
      <c r="G20" s="1576">
        <f>'CX cxj Año3'!K19</f>
        <v>0</v>
      </c>
      <c r="H20" s="1577">
        <f>'CX cxj Año3'!M19</f>
        <v>0</v>
      </c>
      <c r="I20" s="1579">
        <f>'CX cxj Año4'!K19</f>
        <v>0</v>
      </c>
      <c r="J20" s="1577">
        <f>'CX cxj Año4'!M19</f>
        <v>0</v>
      </c>
      <c r="L20" s="1580"/>
    </row>
    <row r="21" spans="2:12" s="1292" customFormat="1" ht="16.149999999999999" hidden="1" customHeight="1" x14ac:dyDescent="0.2">
      <c r="B21" s="1583" t="s">
        <v>6</v>
      </c>
      <c r="C21" s="1576">
        <f>+'CX cxj Año1 '!K20</f>
        <v>0</v>
      </c>
      <c r="D21" s="1577">
        <f>+'CX cxj Año1 '!M20</f>
        <v>0</v>
      </c>
      <c r="E21" s="1576">
        <f>'CX cxj Año2'!K20</f>
        <v>0</v>
      </c>
      <c r="F21" s="1577">
        <f>'CX cxj Año2'!M20</f>
        <v>0</v>
      </c>
      <c r="G21" s="1576">
        <f>'CX cxj Año3'!K20</f>
        <v>0</v>
      </c>
      <c r="H21" s="1577">
        <f>'CX cxj Año3'!M20</f>
        <v>0</v>
      </c>
      <c r="I21" s="1579">
        <f>'CX cxj Año4'!K20</f>
        <v>0</v>
      </c>
      <c r="J21" s="1577">
        <f>'CX cxj Año4'!M20</f>
        <v>0</v>
      </c>
      <c r="L21" s="1580"/>
    </row>
    <row r="22" spans="2:12" s="1292" customFormat="1" ht="18.75" customHeight="1" x14ac:dyDescent="0.2">
      <c r="B22" s="1583" t="s">
        <v>1049</v>
      </c>
      <c r="C22" s="1576">
        <f>+'CX cxj Año1 '!K21</f>
        <v>16.185780174200765</v>
      </c>
      <c r="D22" s="1577">
        <f>+'CX cxj Año1 '!M21</f>
        <v>10.44</v>
      </c>
      <c r="E22" s="1576">
        <f>'CX cxj Año2'!K21</f>
        <v>16.185780174200765</v>
      </c>
      <c r="F22" s="1577">
        <f>'CX cxj Año2'!M21</f>
        <v>10.44</v>
      </c>
      <c r="G22" s="1576">
        <f>'CX cxj Año3'!K21</f>
        <v>16.185780174200765</v>
      </c>
      <c r="H22" s="1577">
        <f>'CX cxj Año3'!M21</f>
        <v>10.44</v>
      </c>
      <c r="I22" s="1579">
        <f>'CX cxj Año4'!K21</f>
        <v>16.185780174200765</v>
      </c>
      <c r="J22" s="1577">
        <f>'CX cxj Año4'!M21</f>
        <v>10.44</v>
      </c>
      <c r="L22" s="1580"/>
    </row>
    <row r="23" spans="2:12" s="1292" customFormat="1" ht="24" customHeight="1" x14ac:dyDescent="0.2">
      <c r="B23" s="1828" t="s">
        <v>7</v>
      </c>
      <c r="C23" s="1825" t="s">
        <v>142</v>
      </c>
      <c r="D23" s="1826"/>
      <c r="E23" s="1825" t="s">
        <v>142</v>
      </c>
      <c r="F23" s="1826"/>
      <c r="G23" s="1825" t="s">
        <v>142</v>
      </c>
      <c r="H23" s="1826"/>
      <c r="I23" s="1827" t="s">
        <v>142</v>
      </c>
      <c r="J23" s="1826"/>
      <c r="L23" s="1580"/>
    </row>
    <row r="24" spans="2:12" s="1292" customFormat="1" ht="21" customHeight="1" x14ac:dyDescent="0.2">
      <c r="B24" s="1575" t="s">
        <v>115</v>
      </c>
      <c r="C24" s="1576">
        <f>+'CX cxj Año1 '!K23</f>
        <v>45.422712744101062</v>
      </c>
      <c r="D24" s="1584">
        <f>+'CX cxj Año1 '!M23</f>
        <v>29.29</v>
      </c>
      <c r="E24" s="1576">
        <f>'CX cxj Año2'!K23</f>
        <v>45.422712744101062</v>
      </c>
      <c r="F24" s="1577">
        <f>'CX cxj Año2'!M23</f>
        <v>29.29</v>
      </c>
      <c r="G24" s="1576">
        <f>'CX cxj Año3'!K23</f>
        <v>45.422712744101062</v>
      </c>
      <c r="H24" s="1577">
        <f>'CX cxj Año3'!M23</f>
        <v>29.29</v>
      </c>
      <c r="I24" s="1579">
        <f>'CX cxj Año4'!K23</f>
        <v>45.422712744101062</v>
      </c>
      <c r="J24" s="1577">
        <f>'CX cxj Año4'!M23</f>
        <v>29.29</v>
      </c>
      <c r="L24" s="1580"/>
    </row>
    <row r="25" spans="2:12" s="1292" customFormat="1" ht="18" hidden="1" customHeight="1" x14ac:dyDescent="0.2">
      <c r="B25" s="1575" t="s">
        <v>1055</v>
      </c>
      <c r="C25" s="1576" t="s">
        <v>1056</v>
      </c>
      <c r="D25" s="1659"/>
      <c r="E25" s="1576" t="s">
        <v>1056</v>
      </c>
      <c r="F25" s="1578" t="s">
        <v>1057</v>
      </c>
      <c r="G25" s="1576" t="s">
        <v>1056</v>
      </c>
      <c r="H25" s="1578" t="s">
        <v>1057</v>
      </c>
      <c r="I25" s="1579" t="s">
        <v>1056</v>
      </c>
      <c r="J25" s="1578" t="s">
        <v>1057</v>
      </c>
      <c r="L25" s="1580"/>
    </row>
    <row r="26" spans="2:12" s="1292" customFormat="1" ht="18" hidden="1" customHeight="1" x14ac:dyDescent="0.2">
      <c r="B26" s="1575" t="s">
        <v>1058</v>
      </c>
      <c r="C26" s="1576" t="s">
        <v>1056</v>
      </c>
      <c r="D26" s="1670"/>
      <c r="E26" s="1576" t="s">
        <v>1056</v>
      </c>
      <c r="F26" s="1578" t="s">
        <v>1057</v>
      </c>
      <c r="G26" s="1576"/>
      <c r="H26" s="1578" t="s">
        <v>1057</v>
      </c>
      <c r="I26" s="1579"/>
      <c r="J26" s="1578" t="s">
        <v>1057</v>
      </c>
      <c r="L26" s="1580"/>
    </row>
    <row r="27" spans="2:12" s="1292" customFormat="1" ht="18" hidden="1" customHeight="1" x14ac:dyDescent="0.2">
      <c r="B27" s="1575" t="s">
        <v>1059</v>
      </c>
      <c r="C27" s="1576" t="s">
        <v>1056</v>
      </c>
      <c r="D27" s="1658"/>
      <c r="E27" s="1576" t="s">
        <v>1056</v>
      </c>
      <c r="F27" s="1578" t="s">
        <v>1057</v>
      </c>
      <c r="G27" s="1576"/>
      <c r="H27" s="1578" t="s">
        <v>1057</v>
      </c>
      <c r="I27" s="1579"/>
      <c r="J27" s="1578" t="s">
        <v>1057</v>
      </c>
      <c r="L27" s="1580"/>
    </row>
    <row r="28" spans="2:12" s="1292" customFormat="1" ht="21" customHeight="1" x14ac:dyDescent="0.2">
      <c r="B28" s="1575" t="s">
        <v>1041</v>
      </c>
      <c r="C28" s="1576">
        <f>+'CX cxj Año1 '!K24</f>
        <v>106.89666451453294</v>
      </c>
      <c r="D28" s="1658">
        <f>+'CX cxj Año1 '!M24</f>
        <v>68.92</v>
      </c>
      <c r="E28" s="1576">
        <f>'CX cxj Año2'!K24</f>
        <v>106.89666451453294</v>
      </c>
      <c r="F28" s="1578">
        <f>'CX cxj Año2'!M24</f>
        <v>68.92</v>
      </c>
      <c r="G28" s="1576">
        <f>'CX cxj Año3'!K24</f>
        <v>106.89666451453294</v>
      </c>
      <c r="H28" s="1578">
        <f>'CX cxj Año3'!M24</f>
        <v>68.92</v>
      </c>
      <c r="I28" s="1579">
        <f>'CX cxj Año4'!K24</f>
        <v>106.89666451453294</v>
      </c>
      <c r="J28" s="1578">
        <f>'CX cxj Año4'!M24</f>
        <v>68.92</v>
      </c>
      <c r="L28" s="1580"/>
    </row>
    <row r="29" spans="2:12" s="1292" customFormat="1" ht="18" hidden="1" customHeight="1" x14ac:dyDescent="0.2">
      <c r="B29" s="1575" t="s">
        <v>1060</v>
      </c>
      <c r="C29" s="1576" t="s">
        <v>1056</v>
      </c>
      <c r="D29" s="1658"/>
      <c r="E29" s="1576" t="s">
        <v>1056</v>
      </c>
      <c r="F29" s="1578" t="s">
        <v>1057</v>
      </c>
      <c r="G29" s="1576"/>
      <c r="H29" s="1578" t="s">
        <v>1057</v>
      </c>
      <c r="I29" s="1579"/>
      <c r="J29" s="1578" t="s">
        <v>1057</v>
      </c>
      <c r="L29" s="1580"/>
    </row>
    <row r="30" spans="2:12" s="1292" customFormat="1" ht="18" hidden="1" customHeight="1" x14ac:dyDescent="0.2">
      <c r="B30" s="1575" t="s">
        <v>1061</v>
      </c>
      <c r="C30" s="1576" t="s">
        <v>1056</v>
      </c>
      <c r="D30" s="1658"/>
      <c r="E30" s="1576" t="s">
        <v>1056</v>
      </c>
      <c r="F30" s="1578" t="s">
        <v>1057</v>
      </c>
      <c r="G30" s="1576"/>
      <c r="H30" s="1578" t="s">
        <v>1057</v>
      </c>
      <c r="I30" s="1579"/>
      <c r="J30" s="1578" t="s">
        <v>1057</v>
      </c>
      <c r="L30" s="1580"/>
    </row>
    <row r="31" spans="2:12" ht="5.65" customHeight="1" x14ac:dyDescent="0.25">
      <c r="B31" s="50"/>
      <c r="C31" s="145"/>
      <c r="D31" s="146"/>
      <c r="E31" s="145"/>
      <c r="F31" s="146"/>
      <c r="G31" s="145"/>
      <c r="H31" s="146"/>
      <c r="I31" s="145"/>
      <c r="J31" s="146"/>
    </row>
    <row r="32" spans="2:12" ht="14.45" customHeight="1" x14ac:dyDescent="0.2">
      <c r="B32" s="1574" t="s">
        <v>133</v>
      </c>
      <c r="C32" s="68"/>
      <c r="D32" s="68"/>
      <c r="E32" s="68"/>
      <c r="F32" s="67"/>
      <c r="G32" s="67"/>
      <c r="H32" s="67"/>
      <c r="I32" s="67"/>
    </row>
    <row r="33" spans="2:9" ht="13.9" customHeight="1" x14ac:dyDescent="0.25">
      <c r="B33" s="1660" t="s">
        <v>131</v>
      </c>
      <c r="C33" s="68"/>
      <c r="D33" s="68"/>
      <c r="E33" s="68"/>
      <c r="F33" s="67"/>
      <c r="G33" s="67"/>
      <c r="H33" s="67"/>
      <c r="I33" s="67"/>
    </row>
    <row r="34" spans="2:9" ht="15" x14ac:dyDescent="0.2">
      <c r="B34" s="50"/>
      <c r="C34" s="68"/>
      <c r="D34" s="68"/>
      <c r="E34" s="68"/>
      <c r="F34" s="67"/>
      <c r="G34" s="67"/>
      <c r="H34" s="67"/>
      <c r="I34" s="67"/>
    </row>
    <row r="35" spans="2:9" ht="15" x14ac:dyDescent="0.2">
      <c r="C35" s="50"/>
      <c r="D35" s="50"/>
      <c r="E35" s="50"/>
    </row>
    <row r="36" spans="2:9" ht="15" x14ac:dyDescent="0.2">
      <c r="B36" s="50"/>
      <c r="C36" s="50"/>
      <c r="D36" s="50"/>
      <c r="E36" s="50"/>
    </row>
    <row r="37" spans="2:9" ht="15" x14ac:dyDescent="0.2">
      <c r="C37" s="50"/>
      <c r="D37" s="50"/>
      <c r="E37" s="50"/>
    </row>
    <row r="38" spans="2:9" ht="15" x14ac:dyDescent="0.2">
      <c r="C38" s="50"/>
      <c r="D38" s="50"/>
      <c r="E38" s="50"/>
    </row>
    <row r="39" spans="2:9" ht="15" x14ac:dyDescent="0.2">
      <c r="C39" s="50"/>
      <c r="D39" s="50"/>
      <c r="E39" s="50"/>
    </row>
    <row r="40" spans="2:9" ht="15" x14ac:dyDescent="0.2">
      <c r="B40" s="50"/>
      <c r="C40" s="50"/>
      <c r="D40" s="50"/>
      <c r="E40" s="50"/>
    </row>
  </sheetData>
  <mergeCells count="30">
    <mergeCell ref="E9:F9"/>
    <mergeCell ref="G9:H9"/>
    <mergeCell ref="I9:J9"/>
    <mergeCell ref="B3:J3"/>
    <mergeCell ref="B5:J5"/>
    <mergeCell ref="B6:J6"/>
    <mergeCell ref="C9:D9"/>
    <mergeCell ref="B4:J4"/>
    <mergeCell ref="B7:J7"/>
    <mergeCell ref="G18:H18"/>
    <mergeCell ref="G23:H23"/>
    <mergeCell ref="I10:I11"/>
    <mergeCell ref="J10:J11"/>
    <mergeCell ref="I12:J12"/>
    <mergeCell ref="I18:J18"/>
    <mergeCell ref="I23:J23"/>
    <mergeCell ref="G10:G11"/>
    <mergeCell ref="H10:H11"/>
    <mergeCell ref="G12:H12"/>
    <mergeCell ref="C12:D12"/>
    <mergeCell ref="C18:D18"/>
    <mergeCell ref="C23:D23"/>
    <mergeCell ref="B10:B11"/>
    <mergeCell ref="C10:C11"/>
    <mergeCell ref="D10:D11"/>
    <mergeCell ref="E10:E11"/>
    <mergeCell ref="F10:F11"/>
    <mergeCell ref="E12:F12"/>
    <mergeCell ref="E18:F18"/>
    <mergeCell ref="E23:F23"/>
  </mergeCells>
  <phoneticPr fontId="0" type="noConversion"/>
  <printOptions horizontalCentered="1" verticalCentered="1"/>
  <pageMargins left="0.62992125984251968" right="0.62992125984251968" top="0.98425196850393704" bottom="1.3779527559055118" header="0" footer="1.0629921259842521"/>
  <pageSetup scale="75" orientation="portrait" r:id="rId1"/>
  <headerFooter alignWithMargins="0">
    <oddHeader>&amp;F</oddHeader>
    <oddFooter>&amp;L&amp;8HOJA:  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39997558519241921"/>
  </sheetPr>
  <dimension ref="A1:AY174"/>
  <sheetViews>
    <sheetView showGridLines="0" zoomScale="85" zoomScaleNormal="85" workbookViewId="0">
      <pane xSplit="2" ySplit="7" topLeftCell="H8" activePane="bottomRight" state="frozen"/>
      <selection pane="topRight" activeCell="Y34" sqref="Y34"/>
      <selection pane="bottomLeft" activeCell="Y34" sqref="Y34"/>
      <selection pane="bottomRight" activeCell="J10" sqref="J10"/>
    </sheetView>
  </sheetViews>
  <sheetFormatPr baseColWidth="10" defaultColWidth="11.42578125" defaultRowHeight="14.25" outlineLevelRow="2" outlineLevelCol="1" x14ac:dyDescent="0.2"/>
  <cols>
    <col min="1" max="1" width="5" style="1218" bestFit="1" customWidth="1"/>
    <col min="2" max="2" width="83.28515625" style="1188" customWidth="1"/>
    <col min="3" max="4" width="12" style="1188" hidden="1" customWidth="1" outlineLevel="1"/>
    <col min="5" max="5" width="12" style="1188" hidden="1" customWidth="1" collapsed="1"/>
    <col min="6" max="6" width="12" style="1188" hidden="1" customWidth="1"/>
    <col min="7" max="7" width="12.28515625" style="1188" hidden="1" customWidth="1"/>
    <col min="8" max="10" width="12.7109375" style="1188" bestFit="1" customWidth="1"/>
    <col min="11" max="12" width="11.7109375" style="1188" bestFit="1" customWidth="1"/>
    <col min="13" max="14" width="10.7109375" style="1188" customWidth="1"/>
    <col min="15" max="15" width="13" style="1188" bestFit="1" customWidth="1"/>
    <col min="16" max="16" width="8.7109375" style="1188" bestFit="1" customWidth="1"/>
    <col min="17" max="17" width="25.28515625" style="1188" customWidth="1"/>
    <col min="18" max="18" width="18.7109375" style="1188" customWidth="1"/>
    <col min="19" max="19" width="20.28515625" style="1188" customWidth="1"/>
    <col min="20" max="16384" width="11.42578125" style="1188"/>
  </cols>
  <sheetData>
    <row r="1" spans="1:50" ht="18" x14ac:dyDescent="0.25">
      <c r="A1" s="1786" t="s">
        <v>638</v>
      </c>
      <c r="B1" s="1786"/>
      <c r="C1" s="1786"/>
      <c r="D1" s="1786"/>
      <c r="E1" s="1786"/>
      <c r="F1" s="1786"/>
      <c r="G1" s="1786"/>
      <c r="H1" s="1786"/>
      <c r="I1" s="1786"/>
      <c r="J1" s="1786"/>
      <c r="K1" s="1786"/>
      <c r="L1" s="1786"/>
      <c r="M1" s="1786"/>
      <c r="N1" s="1786"/>
      <c r="O1" s="1786"/>
      <c r="P1" s="1186"/>
      <c r="Q1" s="1187"/>
      <c r="R1" s="1187"/>
      <c r="AO1" s="1189">
        <f>AO6</f>
        <v>2021</v>
      </c>
      <c r="AP1" s="1190">
        <f t="shared" ref="AP1:AX1" si="0">AP6</f>
        <v>2022</v>
      </c>
      <c r="AQ1" s="1190">
        <f t="shared" si="0"/>
        <v>2023</v>
      </c>
      <c r="AR1" s="1190">
        <f t="shared" si="0"/>
        <v>2024</v>
      </c>
      <c r="AS1" s="1190">
        <f t="shared" si="0"/>
        <v>2025</v>
      </c>
      <c r="AT1" s="1190">
        <f t="shared" si="0"/>
        <v>2026</v>
      </c>
      <c r="AU1" s="1190">
        <f t="shared" si="0"/>
        <v>2027</v>
      </c>
      <c r="AV1" s="1190">
        <f t="shared" si="0"/>
        <v>2028</v>
      </c>
      <c r="AW1" s="1190">
        <f t="shared" si="0"/>
        <v>2029</v>
      </c>
      <c r="AX1" s="1191">
        <f t="shared" si="0"/>
        <v>2030</v>
      </c>
    </row>
    <row r="2" spans="1:50" ht="18" x14ac:dyDescent="0.25">
      <c r="A2" s="1786" t="s">
        <v>639</v>
      </c>
      <c r="B2" s="1786"/>
      <c r="C2" s="1786"/>
      <c r="D2" s="1786"/>
      <c r="E2" s="1786"/>
      <c r="F2" s="1786"/>
      <c r="G2" s="1786"/>
      <c r="H2" s="1786"/>
      <c r="I2" s="1786"/>
      <c r="J2" s="1786"/>
      <c r="K2" s="1786"/>
      <c r="L2" s="1786"/>
      <c r="M2" s="1786"/>
      <c r="N2" s="1786"/>
      <c r="O2" s="1786"/>
      <c r="P2" s="1186"/>
      <c r="Q2" s="1187"/>
      <c r="R2" s="1187"/>
      <c r="AO2" s="1192">
        <f t="shared" ref="AO2:AX2" si="1">IFERROR(SUMPRODUCT(AE12:AE165,AO12:AO165)/SUM(AO12:AO165)*12,)</f>
        <v>0</v>
      </c>
      <c r="AP2" s="1193">
        <f t="shared" si="1"/>
        <v>0</v>
      </c>
      <c r="AQ2" s="1193">
        <f t="shared" si="1"/>
        <v>0</v>
      </c>
      <c r="AR2" s="1193">
        <f t="shared" si="1"/>
        <v>3.3885542505548383</v>
      </c>
      <c r="AS2" s="1193">
        <f t="shared" si="1"/>
        <v>7.240931862774854</v>
      </c>
      <c r="AT2" s="1193">
        <f t="shared" si="1"/>
        <v>6.7397260273972588</v>
      </c>
      <c r="AU2" s="1193">
        <f t="shared" si="1"/>
        <v>0</v>
      </c>
      <c r="AV2" s="1193">
        <f t="shared" si="1"/>
        <v>0</v>
      </c>
      <c r="AW2" s="1193">
        <f t="shared" si="1"/>
        <v>0</v>
      </c>
      <c r="AX2" s="1194">
        <f t="shared" si="1"/>
        <v>0</v>
      </c>
    </row>
    <row r="3" spans="1:50" ht="18.75" thickBot="1" x14ac:dyDescent="0.3">
      <c r="A3" s="1786" t="s">
        <v>640</v>
      </c>
      <c r="B3" s="1786"/>
      <c r="C3" s="1786"/>
      <c r="D3" s="1786"/>
      <c r="E3" s="1786"/>
      <c r="F3" s="1786"/>
      <c r="G3" s="1786"/>
      <c r="H3" s="1786"/>
      <c r="I3" s="1786"/>
      <c r="J3" s="1786"/>
      <c r="K3" s="1786"/>
      <c r="L3" s="1786"/>
      <c r="M3" s="1786"/>
      <c r="N3" s="1786"/>
      <c r="O3" s="1786"/>
      <c r="P3" s="1186"/>
      <c r="Q3" s="1187"/>
      <c r="R3" s="1187"/>
      <c r="AO3" s="1195" t="s">
        <v>753</v>
      </c>
      <c r="AP3" s="1196"/>
      <c r="AQ3" s="1196"/>
      <c r="AR3" s="1196"/>
      <c r="AS3" s="1196"/>
      <c r="AT3" s="1196"/>
      <c r="AU3" s="1196"/>
      <c r="AV3" s="1196"/>
      <c r="AW3" s="1196"/>
      <c r="AX3" s="1197"/>
    </row>
    <row r="4" spans="1:50" ht="18" x14ac:dyDescent="0.25">
      <c r="A4" s="1786" t="s">
        <v>641</v>
      </c>
      <c r="B4" s="1786"/>
      <c r="C4" s="1786"/>
      <c r="D4" s="1786"/>
      <c r="E4" s="1786"/>
      <c r="F4" s="1786"/>
      <c r="G4" s="1786"/>
      <c r="H4" s="1786"/>
      <c r="I4" s="1786"/>
      <c r="J4" s="1786"/>
      <c r="K4" s="1786"/>
      <c r="L4" s="1786"/>
      <c r="M4" s="1786"/>
      <c r="N4" s="1786"/>
      <c r="O4" s="1786"/>
      <c r="P4" s="1186"/>
      <c r="Q4" s="1187"/>
      <c r="R4" s="1187"/>
      <c r="S4" s="1784"/>
    </row>
    <row r="5" spans="1:50" ht="15" customHeight="1" x14ac:dyDescent="0.25">
      <c r="A5" s="1198"/>
      <c r="B5" s="1187"/>
      <c r="C5" s="1199"/>
      <c r="D5" s="1199"/>
      <c r="E5" s="1200"/>
      <c r="F5" s="1200"/>
      <c r="G5" s="1200"/>
      <c r="H5" s="1200"/>
      <c r="I5" s="1200"/>
      <c r="J5" s="1199"/>
      <c r="K5" s="1199"/>
      <c r="L5" s="1199"/>
      <c r="M5" s="1199"/>
      <c r="N5" s="1199"/>
      <c r="O5" s="1199"/>
      <c r="P5" s="1200"/>
      <c r="Q5" s="1187"/>
      <c r="R5" s="1187"/>
      <c r="S5" s="1784"/>
      <c r="U5" s="1201" t="s">
        <v>642</v>
      </c>
      <c r="V5" s="1201"/>
      <c r="W5" s="1201"/>
      <c r="X5" s="1201"/>
      <c r="Y5" s="1201"/>
      <c r="Z5" s="1201"/>
      <c r="AA5" s="1201"/>
      <c r="AB5" s="1201"/>
      <c r="AC5" s="1201"/>
      <c r="AD5" s="1201"/>
      <c r="AE5" s="1202" t="s">
        <v>643</v>
      </c>
      <c r="AF5" s="1202"/>
      <c r="AG5" s="1202"/>
      <c r="AH5" s="1202"/>
      <c r="AI5" s="1202"/>
      <c r="AJ5" s="1202"/>
      <c r="AK5" s="1202"/>
      <c r="AL5" s="1202"/>
      <c r="AM5" s="1202"/>
      <c r="AN5" s="1202"/>
      <c r="AO5" s="1203" t="s">
        <v>754</v>
      </c>
      <c r="AP5" s="1203"/>
      <c r="AQ5" s="1203"/>
      <c r="AR5" s="1203"/>
      <c r="AS5" s="1203"/>
      <c r="AT5" s="1203"/>
      <c r="AU5" s="1203"/>
      <c r="AV5" s="1203"/>
      <c r="AW5" s="1203"/>
      <c r="AX5" s="1203"/>
    </row>
    <row r="6" spans="1:50" s="1207" customFormat="1" ht="15" customHeight="1" x14ac:dyDescent="0.25">
      <c r="A6" s="1204" t="s">
        <v>10</v>
      </c>
      <c r="B6" s="1205"/>
      <c r="C6" s="1206" t="s">
        <v>644</v>
      </c>
      <c r="D6" s="1206"/>
      <c r="E6" s="1206">
        <f>+D7+1</f>
        <v>2021</v>
      </c>
      <c r="F6" s="1206">
        <f t="shared" ref="F6:N7" si="2">+E6+1</f>
        <v>2022</v>
      </c>
      <c r="G6" s="1206">
        <f t="shared" si="2"/>
        <v>2023</v>
      </c>
      <c r="H6" s="1206">
        <f t="shared" si="2"/>
        <v>2024</v>
      </c>
      <c r="I6" s="1206">
        <f t="shared" si="2"/>
        <v>2025</v>
      </c>
      <c r="J6" s="1206">
        <f t="shared" si="2"/>
        <v>2026</v>
      </c>
      <c r="K6" s="1206">
        <f t="shared" si="2"/>
        <v>2027</v>
      </c>
      <c r="L6" s="1206">
        <f t="shared" si="2"/>
        <v>2028</v>
      </c>
      <c r="M6" s="1206">
        <f t="shared" si="2"/>
        <v>2029</v>
      </c>
      <c r="N6" s="1206">
        <f t="shared" si="2"/>
        <v>2030</v>
      </c>
      <c r="Q6" s="1785" t="s">
        <v>755</v>
      </c>
      <c r="R6" s="1785" t="s">
        <v>645</v>
      </c>
      <c r="U6" s="1206">
        <v>2021</v>
      </c>
      <c r="V6" s="1206">
        <v>2022</v>
      </c>
      <c r="W6" s="1206">
        <v>2023</v>
      </c>
      <c r="X6" s="1206">
        <v>2024</v>
      </c>
      <c r="Y6" s="1206">
        <v>2025</v>
      </c>
      <c r="Z6" s="1206">
        <v>2026</v>
      </c>
      <c r="AA6" s="1206">
        <v>2027</v>
      </c>
      <c r="AB6" s="1206">
        <v>2028</v>
      </c>
      <c r="AC6" s="1206">
        <v>2029</v>
      </c>
      <c r="AD6" s="1206">
        <v>2030</v>
      </c>
      <c r="AE6" s="1206">
        <f>U6</f>
        <v>2021</v>
      </c>
      <c r="AF6" s="1206">
        <f t="shared" ref="AF6:AN6" si="3">V6</f>
        <v>2022</v>
      </c>
      <c r="AG6" s="1206">
        <f t="shared" si="3"/>
        <v>2023</v>
      </c>
      <c r="AH6" s="1206">
        <f t="shared" si="3"/>
        <v>2024</v>
      </c>
      <c r="AI6" s="1206">
        <f t="shared" si="3"/>
        <v>2025</v>
      </c>
      <c r="AJ6" s="1206">
        <f t="shared" si="3"/>
        <v>2026</v>
      </c>
      <c r="AK6" s="1206">
        <f t="shared" si="3"/>
        <v>2027</v>
      </c>
      <c r="AL6" s="1206">
        <f t="shared" si="3"/>
        <v>2028</v>
      </c>
      <c r="AM6" s="1206">
        <f t="shared" si="3"/>
        <v>2029</v>
      </c>
      <c r="AN6" s="1206">
        <f t="shared" si="3"/>
        <v>2030</v>
      </c>
      <c r="AO6" s="1208">
        <f>AE6</f>
        <v>2021</v>
      </c>
      <c r="AP6" s="1208">
        <f t="shared" ref="AP6:AX6" si="4">AF6</f>
        <v>2022</v>
      </c>
      <c r="AQ6" s="1208">
        <f t="shared" si="4"/>
        <v>2023</v>
      </c>
      <c r="AR6" s="1208">
        <f t="shared" si="4"/>
        <v>2024</v>
      </c>
      <c r="AS6" s="1208">
        <f t="shared" si="4"/>
        <v>2025</v>
      </c>
      <c r="AT6" s="1208">
        <f t="shared" si="4"/>
        <v>2026</v>
      </c>
      <c r="AU6" s="1208">
        <f t="shared" si="4"/>
        <v>2027</v>
      </c>
      <c r="AV6" s="1208">
        <f t="shared" si="4"/>
        <v>2028</v>
      </c>
      <c r="AW6" s="1208">
        <f t="shared" si="4"/>
        <v>2029</v>
      </c>
      <c r="AX6" s="1208">
        <f t="shared" si="4"/>
        <v>2030</v>
      </c>
    </row>
    <row r="7" spans="1:50" ht="15" x14ac:dyDescent="0.25">
      <c r="A7" s="1209" t="s">
        <v>10</v>
      </c>
      <c r="B7" s="1210"/>
      <c r="C7" s="1211">
        <v>2019</v>
      </c>
      <c r="D7" s="1211">
        <f t="shared" ref="D7:E7" si="5">+C7+1</f>
        <v>2020</v>
      </c>
      <c r="E7" s="1211">
        <f t="shared" si="5"/>
        <v>2021</v>
      </c>
      <c r="F7" s="1211">
        <f t="shared" si="2"/>
        <v>2022</v>
      </c>
      <c r="G7" s="1211">
        <f t="shared" si="2"/>
        <v>2023</v>
      </c>
      <c r="H7" s="1211">
        <f t="shared" si="2"/>
        <v>2024</v>
      </c>
      <c r="I7" s="1211">
        <f t="shared" si="2"/>
        <v>2025</v>
      </c>
      <c r="J7" s="1211">
        <f t="shared" si="2"/>
        <v>2026</v>
      </c>
      <c r="K7" s="1211">
        <f t="shared" si="2"/>
        <v>2027</v>
      </c>
      <c r="L7" s="1211">
        <f t="shared" si="2"/>
        <v>2028</v>
      </c>
      <c r="M7" s="1211">
        <f t="shared" si="2"/>
        <v>2029</v>
      </c>
      <c r="N7" s="1211">
        <f t="shared" si="2"/>
        <v>2030</v>
      </c>
      <c r="O7" s="1211" t="s">
        <v>11</v>
      </c>
      <c r="P7" s="1212"/>
      <c r="Q7" s="1785"/>
      <c r="R7" s="1785" t="s">
        <v>645</v>
      </c>
    </row>
    <row r="8" spans="1:50" s="1207" customFormat="1" ht="15" x14ac:dyDescent="0.25">
      <c r="A8" s="1213">
        <v>1</v>
      </c>
      <c r="B8" s="1214"/>
      <c r="C8" s="1215">
        <f t="shared" ref="C8:N8" si="6">+C10+C49+C64+C81+C136+C151+C162</f>
        <v>0</v>
      </c>
      <c r="D8" s="1215">
        <f t="shared" si="6"/>
        <v>0</v>
      </c>
      <c r="E8" s="1215">
        <f t="shared" si="6"/>
        <v>0</v>
      </c>
      <c r="F8" s="1215">
        <f t="shared" si="6"/>
        <v>0</v>
      </c>
      <c r="G8" s="1215">
        <f t="shared" si="6"/>
        <v>0</v>
      </c>
      <c r="H8" s="1215">
        <f t="shared" si="6"/>
        <v>72664.081409199993</v>
      </c>
      <c r="I8" s="1215">
        <f t="shared" si="6"/>
        <v>202940.2114843</v>
      </c>
      <c r="J8" s="1215">
        <f t="shared" si="6"/>
        <v>49890.996182500006</v>
      </c>
      <c r="K8" s="1215">
        <f t="shared" si="6"/>
        <v>5129.0559999999996</v>
      </c>
      <c r="L8" s="1215">
        <f t="shared" si="6"/>
        <v>0</v>
      </c>
      <c r="M8" s="1215">
        <f t="shared" si="6"/>
        <v>0</v>
      </c>
      <c r="N8" s="1215">
        <f t="shared" si="6"/>
        <v>0</v>
      </c>
      <c r="O8" s="1216">
        <f>SUM(C8:M8)</f>
        <v>330624.34507599997</v>
      </c>
      <c r="P8" s="1216"/>
      <c r="Q8" s="1204"/>
      <c r="R8" s="1204"/>
      <c r="S8" s="1204"/>
      <c r="T8" s="1217"/>
    </row>
    <row r="9" spans="1:50" ht="15" x14ac:dyDescent="0.25">
      <c r="A9" s="1218">
        <f t="shared" ref="A9:A10" si="7">+A8+1</f>
        <v>2</v>
      </c>
      <c r="B9" s="1219"/>
      <c r="C9" s="1220"/>
      <c r="D9" s="1220"/>
      <c r="E9" s="1220"/>
      <c r="F9" s="1220"/>
      <c r="G9" s="1220"/>
      <c r="H9" s="1220"/>
      <c r="I9" s="1220"/>
      <c r="J9" s="1220"/>
      <c r="K9" s="1220"/>
      <c r="L9" s="1220"/>
      <c r="M9" s="1220"/>
      <c r="N9" s="1220"/>
      <c r="O9" s="1221"/>
      <c r="P9" s="1222"/>
      <c r="Q9" s="1209"/>
      <c r="R9" s="1209"/>
      <c r="S9" s="1209"/>
      <c r="T9" s="1223"/>
    </row>
    <row r="10" spans="1:50" s="1207" customFormat="1" ht="15" collapsed="1" x14ac:dyDescent="0.25">
      <c r="A10" s="1213">
        <f t="shared" si="7"/>
        <v>3</v>
      </c>
      <c r="B10" s="1204" t="s">
        <v>449</v>
      </c>
      <c r="C10" s="1216">
        <f t="shared" ref="C10:N10" si="8">SUBTOTAL(9,C12:C48)</f>
        <v>0</v>
      </c>
      <c r="D10" s="1216">
        <f t="shared" si="8"/>
        <v>0</v>
      </c>
      <c r="E10" s="1216">
        <f t="shared" si="8"/>
        <v>0</v>
      </c>
      <c r="F10" s="1216">
        <f t="shared" si="8"/>
        <v>0</v>
      </c>
      <c r="G10" s="1216">
        <f t="shared" si="8"/>
        <v>0</v>
      </c>
      <c r="H10" s="1216">
        <f t="shared" si="8"/>
        <v>72664.081409199993</v>
      </c>
      <c r="I10" s="1216">
        <f t="shared" si="8"/>
        <v>190252.31304430001</v>
      </c>
      <c r="J10" s="1216">
        <f t="shared" si="8"/>
        <v>49890.996182500006</v>
      </c>
      <c r="K10" s="1216">
        <f t="shared" si="8"/>
        <v>0</v>
      </c>
      <c r="L10" s="1216">
        <f t="shared" si="8"/>
        <v>0</v>
      </c>
      <c r="M10" s="1216">
        <f t="shared" si="8"/>
        <v>0</v>
      </c>
      <c r="N10" s="1216">
        <f t="shared" si="8"/>
        <v>0</v>
      </c>
      <c r="O10" s="1216">
        <f>SUM(D10:N10)</f>
        <v>312807.39063599997</v>
      </c>
      <c r="P10" s="1216"/>
      <c r="Q10" s="1204"/>
      <c r="R10" s="1204"/>
      <c r="S10" s="1204"/>
      <c r="T10" s="1217"/>
    </row>
    <row r="11" spans="1:50" s="1207" customFormat="1" ht="15" x14ac:dyDescent="0.25">
      <c r="A11" s="1213"/>
      <c r="B11" s="1204" t="s">
        <v>713</v>
      </c>
      <c r="C11" s="1216"/>
      <c r="D11" s="1216"/>
      <c r="E11" s="1216"/>
      <c r="F11" s="1216"/>
      <c r="G11" s="1216"/>
      <c r="H11" s="1216"/>
      <c r="I11" s="1216"/>
      <c r="J11" s="1216"/>
      <c r="K11" s="1216"/>
      <c r="L11" s="1216"/>
      <c r="M11" s="1216"/>
      <c r="N11" s="1216"/>
      <c r="O11" s="1216"/>
      <c r="P11" s="1216"/>
      <c r="Q11" s="1204"/>
      <c r="R11" s="1204"/>
      <c r="S11" s="1204"/>
      <c r="T11" s="1217"/>
    </row>
    <row r="12" spans="1:50" ht="15" x14ac:dyDescent="0.25">
      <c r="A12" s="1218">
        <v>4</v>
      </c>
      <c r="B12" s="1224" t="s">
        <v>646</v>
      </c>
      <c r="C12" s="1225"/>
      <c r="D12" s="1225"/>
      <c r="E12" s="1225"/>
      <c r="F12" s="1225"/>
      <c r="G12" s="1225"/>
      <c r="H12" s="1226">
        <v>4286.5073599999996</v>
      </c>
      <c r="I12" s="1226">
        <v>0</v>
      </c>
      <c r="J12" s="1226">
        <v>0</v>
      </c>
      <c r="K12" s="1226">
        <v>0</v>
      </c>
      <c r="L12" s="1226">
        <v>0</v>
      </c>
      <c r="M12" s="1226">
        <v>0</v>
      </c>
      <c r="N12" s="1226">
        <v>0</v>
      </c>
      <c r="O12" s="1227">
        <f>SUM(C12:N12)</f>
        <v>4286.5073599999996</v>
      </c>
      <c r="P12" s="1227"/>
      <c r="Q12" s="1228">
        <v>45503</v>
      </c>
      <c r="R12" s="1209"/>
      <c r="S12" s="1228"/>
      <c r="T12" s="1223"/>
      <c r="U12" s="1229" t="str">
        <f>IF(U$6=YEAR($Q12),$Q12,"")</f>
        <v/>
      </c>
      <c r="V12" s="1229" t="str">
        <f t="shared" ref="V12:AD23" si="9">IF(V$6=YEAR($Q12),$Q12,"")</f>
        <v/>
      </c>
      <c r="W12" s="1229" t="str">
        <f t="shared" si="9"/>
        <v/>
      </c>
      <c r="X12" s="1229">
        <f t="shared" si="9"/>
        <v>45503</v>
      </c>
      <c r="Y12" s="1229" t="str">
        <f t="shared" si="9"/>
        <v/>
      </c>
      <c r="Z12" s="1229" t="str">
        <f t="shared" si="9"/>
        <v/>
      </c>
      <c r="AA12" s="1229" t="str">
        <f t="shared" si="9"/>
        <v/>
      </c>
      <c r="AB12" s="1229" t="str">
        <f t="shared" si="9"/>
        <v/>
      </c>
      <c r="AC12" s="1229" t="str">
        <f t="shared" si="9"/>
        <v/>
      </c>
      <c r="AD12" s="1229" t="str">
        <f t="shared" si="9"/>
        <v/>
      </c>
      <c r="AE12" s="1230">
        <f>IF(U12="",,(DATE(AE$6,12,31)-U12)/365)</f>
        <v>0</v>
      </c>
      <c r="AF12" s="1230">
        <f t="shared" ref="AF12:AN23" si="10">IF(V12="",,(DATE(AF$6,12,31)-V12)/365)</f>
        <v>0</v>
      </c>
      <c r="AG12" s="1230">
        <f t="shared" si="10"/>
        <v>0</v>
      </c>
      <c r="AH12" s="1230">
        <f>IF(X12="",,(DATE(AH$6,12,31)-X12)/365)</f>
        <v>0.42191780821917807</v>
      </c>
      <c r="AI12" s="1230">
        <f t="shared" si="10"/>
        <v>0</v>
      </c>
      <c r="AJ12" s="1230">
        <f t="shared" si="10"/>
        <v>0</v>
      </c>
      <c r="AK12" s="1230">
        <f t="shared" si="10"/>
        <v>0</v>
      </c>
      <c r="AL12" s="1230">
        <f t="shared" si="10"/>
        <v>0</v>
      </c>
      <c r="AM12" s="1230">
        <f t="shared" si="10"/>
        <v>0</v>
      </c>
      <c r="AN12" s="1230">
        <f t="shared" si="10"/>
        <v>0</v>
      </c>
      <c r="AO12" s="1231">
        <f>AE12*E12</f>
        <v>0</v>
      </c>
      <c r="AP12" s="1231">
        <f t="shared" ref="AP12:AX23" si="11">AF12*F12</f>
        <v>0</v>
      </c>
      <c r="AQ12" s="1231">
        <f t="shared" si="11"/>
        <v>0</v>
      </c>
      <c r="AR12" s="1231">
        <f t="shared" si="11"/>
        <v>1808.5537902465751</v>
      </c>
      <c r="AS12" s="1231">
        <f t="shared" si="11"/>
        <v>0</v>
      </c>
      <c r="AT12" s="1231">
        <f t="shared" si="11"/>
        <v>0</v>
      </c>
      <c r="AU12" s="1231">
        <f t="shared" si="11"/>
        <v>0</v>
      </c>
      <c r="AV12" s="1231">
        <f t="shared" si="11"/>
        <v>0</v>
      </c>
      <c r="AW12" s="1231">
        <f t="shared" si="11"/>
        <v>0</v>
      </c>
      <c r="AX12" s="1231">
        <f t="shared" si="11"/>
        <v>0</v>
      </c>
    </row>
    <row r="13" spans="1:50" ht="15" outlineLevel="1" x14ac:dyDescent="0.25">
      <c r="A13" s="1218">
        <v>5</v>
      </c>
      <c r="B13" s="1224" t="s">
        <v>715</v>
      </c>
      <c r="C13" s="1225"/>
      <c r="D13" s="1225"/>
      <c r="E13" s="1225"/>
      <c r="F13" s="1225"/>
      <c r="G13" s="1225"/>
      <c r="H13" s="1226">
        <v>33016.646879200001</v>
      </c>
      <c r="I13" s="1226">
        <v>0</v>
      </c>
      <c r="J13" s="1226">
        <v>0</v>
      </c>
      <c r="K13" s="1226">
        <v>0</v>
      </c>
      <c r="L13" s="1226">
        <v>0</v>
      </c>
      <c r="M13" s="1226">
        <v>0</v>
      </c>
      <c r="N13" s="1226">
        <v>0</v>
      </c>
      <c r="O13" s="1227">
        <f>SUM(C13:N13)</f>
        <v>33016.646879200001</v>
      </c>
      <c r="P13" s="1223"/>
      <c r="Q13" s="1228">
        <v>45565</v>
      </c>
      <c r="R13" s="1218"/>
      <c r="S13" s="1232"/>
      <c r="T13" s="1223"/>
      <c r="U13" s="1229" t="str">
        <f t="shared" ref="U13:U23" si="12">IF(U$6=YEAR($Q13),$Q13,"")</f>
        <v/>
      </c>
      <c r="V13" s="1229" t="str">
        <f t="shared" si="9"/>
        <v/>
      </c>
      <c r="W13" s="1229" t="str">
        <f t="shared" si="9"/>
        <v/>
      </c>
      <c r="X13" s="1229">
        <f t="shared" si="9"/>
        <v>45565</v>
      </c>
      <c r="Y13" s="1229" t="str">
        <f t="shared" si="9"/>
        <v/>
      </c>
      <c r="Z13" s="1229" t="str">
        <f t="shared" si="9"/>
        <v/>
      </c>
      <c r="AA13" s="1229" t="str">
        <f t="shared" si="9"/>
        <v/>
      </c>
      <c r="AB13" s="1229" t="str">
        <f t="shared" si="9"/>
        <v/>
      </c>
      <c r="AC13" s="1229" t="str">
        <f t="shared" si="9"/>
        <v/>
      </c>
      <c r="AD13" s="1229" t="str">
        <f t="shared" si="9"/>
        <v/>
      </c>
      <c r="AE13" s="1230">
        <f t="shared" ref="AE13:AE23" si="13">IF(U13="",,(DATE(AE$6,12,31)-U13)/365)</f>
        <v>0</v>
      </c>
      <c r="AF13" s="1230">
        <f t="shared" si="10"/>
        <v>0</v>
      </c>
      <c r="AG13" s="1230">
        <f t="shared" si="10"/>
        <v>0</v>
      </c>
      <c r="AH13" s="1230">
        <f t="shared" si="10"/>
        <v>0.25205479452054796</v>
      </c>
      <c r="AI13" s="1230">
        <f t="shared" si="10"/>
        <v>0</v>
      </c>
      <c r="AJ13" s="1230">
        <f t="shared" si="10"/>
        <v>0</v>
      </c>
      <c r="AK13" s="1230">
        <f t="shared" si="10"/>
        <v>0</v>
      </c>
      <c r="AL13" s="1230">
        <f t="shared" si="10"/>
        <v>0</v>
      </c>
      <c r="AM13" s="1230">
        <f t="shared" si="10"/>
        <v>0</v>
      </c>
      <c r="AN13" s="1230">
        <f t="shared" si="10"/>
        <v>0</v>
      </c>
      <c r="AO13" s="1231">
        <f t="shared" ref="AO13:AO23" si="14">AE13*E13</f>
        <v>0</v>
      </c>
      <c r="AP13" s="1231">
        <f t="shared" si="11"/>
        <v>0</v>
      </c>
      <c r="AQ13" s="1231">
        <f t="shared" si="11"/>
        <v>0</v>
      </c>
      <c r="AR13" s="1231">
        <f t="shared" si="11"/>
        <v>8322.0041448942484</v>
      </c>
      <c r="AS13" s="1231">
        <f t="shared" si="11"/>
        <v>0</v>
      </c>
      <c r="AT13" s="1231">
        <f t="shared" si="11"/>
        <v>0</v>
      </c>
      <c r="AU13" s="1231">
        <f t="shared" si="11"/>
        <v>0</v>
      </c>
      <c r="AV13" s="1231">
        <f t="shared" si="11"/>
        <v>0</v>
      </c>
      <c r="AW13" s="1231">
        <f t="shared" si="11"/>
        <v>0</v>
      </c>
      <c r="AX13" s="1231">
        <f t="shared" si="11"/>
        <v>0</v>
      </c>
    </row>
    <row r="14" spans="1:50" ht="15" outlineLevel="1" x14ac:dyDescent="0.25">
      <c r="A14" s="1218">
        <f t="shared" ref="A14:A26" si="15">+A13+1</f>
        <v>6</v>
      </c>
      <c r="B14" s="1224" t="s">
        <v>756</v>
      </c>
      <c r="C14" s="1225"/>
      <c r="D14" s="1225"/>
      <c r="E14" s="1225"/>
      <c r="F14" s="1225"/>
      <c r="G14" s="1225"/>
      <c r="H14" s="1226">
        <v>35360.927169999995</v>
      </c>
      <c r="I14" s="1226">
        <v>0</v>
      </c>
      <c r="J14" s="1226">
        <v>0</v>
      </c>
      <c r="K14" s="1226">
        <v>0</v>
      </c>
      <c r="L14" s="1226">
        <v>0</v>
      </c>
      <c r="M14" s="1226">
        <v>0</v>
      </c>
      <c r="N14" s="1226">
        <v>0</v>
      </c>
      <c r="O14" s="1227">
        <f>SUM(C14:N14)</f>
        <v>35360.927169999995</v>
      </c>
      <c r="P14" s="1223"/>
      <c r="Q14" s="1228">
        <v>45657</v>
      </c>
      <c r="R14" s="1218"/>
      <c r="S14" s="1232"/>
      <c r="T14" s="1223"/>
      <c r="U14" s="1229" t="str">
        <f t="shared" si="12"/>
        <v/>
      </c>
      <c r="V14" s="1229" t="str">
        <f t="shared" si="9"/>
        <v/>
      </c>
      <c r="W14" s="1229" t="str">
        <f t="shared" si="9"/>
        <v/>
      </c>
      <c r="X14" s="1229">
        <f t="shared" si="9"/>
        <v>45657</v>
      </c>
      <c r="Y14" s="1229" t="str">
        <f t="shared" si="9"/>
        <v/>
      </c>
      <c r="Z14" s="1229" t="str">
        <f t="shared" si="9"/>
        <v/>
      </c>
      <c r="AA14" s="1229" t="str">
        <f t="shared" si="9"/>
        <v/>
      </c>
      <c r="AB14" s="1229" t="str">
        <f t="shared" si="9"/>
        <v/>
      </c>
      <c r="AC14" s="1229" t="str">
        <f t="shared" si="9"/>
        <v/>
      </c>
      <c r="AD14" s="1229" t="str">
        <f t="shared" si="9"/>
        <v/>
      </c>
      <c r="AE14" s="1230">
        <f t="shared" si="13"/>
        <v>0</v>
      </c>
      <c r="AF14" s="1230">
        <f t="shared" si="10"/>
        <v>0</v>
      </c>
      <c r="AG14" s="1230">
        <f t="shared" si="10"/>
        <v>0</v>
      </c>
      <c r="AH14" s="1230">
        <f t="shared" si="10"/>
        <v>0</v>
      </c>
      <c r="AI14" s="1230">
        <f t="shared" si="10"/>
        <v>0</v>
      </c>
      <c r="AJ14" s="1230">
        <f t="shared" si="10"/>
        <v>0</v>
      </c>
      <c r="AK14" s="1230">
        <f t="shared" si="10"/>
        <v>0</v>
      </c>
      <c r="AL14" s="1230">
        <f t="shared" si="10"/>
        <v>0</v>
      </c>
      <c r="AM14" s="1230">
        <f t="shared" si="10"/>
        <v>0</v>
      </c>
      <c r="AN14" s="1230">
        <f t="shared" si="10"/>
        <v>0</v>
      </c>
      <c r="AO14" s="1231">
        <f t="shared" si="14"/>
        <v>0</v>
      </c>
      <c r="AP14" s="1231">
        <f t="shared" si="11"/>
        <v>0</v>
      </c>
      <c r="AQ14" s="1231">
        <f t="shared" si="11"/>
        <v>0</v>
      </c>
      <c r="AR14" s="1231">
        <f t="shared" si="11"/>
        <v>0</v>
      </c>
      <c r="AS14" s="1231">
        <f t="shared" si="11"/>
        <v>0</v>
      </c>
      <c r="AT14" s="1231">
        <f t="shared" si="11"/>
        <v>0</v>
      </c>
      <c r="AU14" s="1231">
        <f t="shared" si="11"/>
        <v>0</v>
      </c>
      <c r="AV14" s="1231">
        <f t="shared" si="11"/>
        <v>0</v>
      </c>
      <c r="AW14" s="1231">
        <f t="shared" si="11"/>
        <v>0</v>
      </c>
      <c r="AX14" s="1231">
        <f t="shared" si="11"/>
        <v>0</v>
      </c>
    </row>
    <row r="15" spans="1:50" ht="15" outlineLevel="1" x14ac:dyDescent="0.25">
      <c r="A15" s="1218">
        <v>6</v>
      </c>
      <c r="B15" s="1224" t="s">
        <v>656</v>
      </c>
      <c r="C15" s="1225"/>
      <c r="D15" s="1225"/>
      <c r="E15" s="1225"/>
      <c r="F15" s="1225"/>
      <c r="G15" s="1225"/>
      <c r="H15" s="1226">
        <v>0</v>
      </c>
      <c r="I15" s="1226">
        <v>6784.6891399999995</v>
      </c>
      <c r="J15" s="1226">
        <v>0</v>
      </c>
      <c r="K15" s="1226">
        <v>0</v>
      </c>
      <c r="L15" s="1226">
        <v>0</v>
      </c>
      <c r="M15" s="1226">
        <v>0</v>
      </c>
      <c r="N15" s="1226">
        <v>0</v>
      </c>
      <c r="O15" s="1227">
        <f t="shared" ref="O15:O29" si="16">SUM(C15:N15)</f>
        <v>6784.6891399999995</v>
      </c>
      <c r="P15" s="1223"/>
      <c r="Q15" s="1228">
        <v>45702</v>
      </c>
      <c r="R15" s="1218"/>
      <c r="S15" s="1232"/>
      <c r="T15" s="1223"/>
      <c r="U15" s="1229" t="str">
        <f t="shared" si="12"/>
        <v/>
      </c>
      <c r="V15" s="1229" t="str">
        <f t="shared" si="9"/>
        <v/>
      </c>
      <c r="W15" s="1229" t="str">
        <f t="shared" si="9"/>
        <v/>
      </c>
      <c r="X15" s="1229" t="str">
        <f t="shared" si="9"/>
        <v/>
      </c>
      <c r="Y15" s="1229">
        <f t="shared" si="9"/>
        <v>45702</v>
      </c>
      <c r="Z15" s="1229" t="str">
        <f t="shared" si="9"/>
        <v/>
      </c>
      <c r="AA15" s="1229" t="str">
        <f t="shared" si="9"/>
        <v/>
      </c>
      <c r="AB15" s="1229" t="str">
        <f t="shared" si="9"/>
        <v/>
      </c>
      <c r="AC15" s="1229" t="str">
        <f t="shared" si="9"/>
        <v/>
      </c>
      <c r="AD15" s="1229" t="str">
        <f t="shared" si="9"/>
        <v/>
      </c>
      <c r="AE15" s="1230">
        <f t="shared" si="13"/>
        <v>0</v>
      </c>
      <c r="AF15" s="1230">
        <f t="shared" si="10"/>
        <v>0</v>
      </c>
      <c r="AG15" s="1230">
        <f t="shared" si="10"/>
        <v>0</v>
      </c>
      <c r="AH15" s="1230">
        <f t="shared" si="10"/>
        <v>0</v>
      </c>
      <c r="AI15" s="1230">
        <f t="shared" si="10"/>
        <v>0.87671232876712324</v>
      </c>
      <c r="AJ15" s="1230">
        <f t="shared" si="10"/>
        <v>0</v>
      </c>
      <c r="AK15" s="1230">
        <f t="shared" si="10"/>
        <v>0</v>
      </c>
      <c r="AL15" s="1230">
        <f t="shared" si="10"/>
        <v>0</v>
      </c>
      <c r="AM15" s="1230">
        <f t="shared" si="10"/>
        <v>0</v>
      </c>
      <c r="AN15" s="1230">
        <f t="shared" si="10"/>
        <v>0</v>
      </c>
      <c r="AO15" s="1231">
        <f t="shared" si="14"/>
        <v>0</v>
      </c>
      <c r="AP15" s="1231">
        <f t="shared" si="11"/>
        <v>0</v>
      </c>
      <c r="AQ15" s="1231">
        <f t="shared" si="11"/>
        <v>0</v>
      </c>
      <c r="AR15" s="1231">
        <f t="shared" si="11"/>
        <v>0</v>
      </c>
      <c r="AS15" s="1231">
        <f t="shared" si="11"/>
        <v>5948.22061589041</v>
      </c>
      <c r="AT15" s="1231">
        <f t="shared" si="11"/>
        <v>0</v>
      </c>
      <c r="AU15" s="1231">
        <f t="shared" si="11"/>
        <v>0</v>
      </c>
      <c r="AV15" s="1231">
        <f t="shared" si="11"/>
        <v>0</v>
      </c>
      <c r="AW15" s="1231">
        <f t="shared" si="11"/>
        <v>0</v>
      </c>
      <c r="AX15" s="1231">
        <f t="shared" si="11"/>
        <v>0</v>
      </c>
    </row>
    <row r="16" spans="1:50" ht="15" outlineLevel="1" x14ac:dyDescent="0.25">
      <c r="A16" s="1218">
        <v>7</v>
      </c>
      <c r="B16" s="1224" t="s">
        <v>757</v>
      </c>
      <c r="C16" s="1225"/>
      <c r="D16" s="1225"/>
      <c r="E16" s="1225"/>
      <c r="F16" s="1225"/>
      <c r="G16" s="1225"/>
      <c r="H16" s="1226">
        <v>0</v>
      </c>
      <c r="I16" s="1226">
        <v>44699.986629999999</v>
      </c>
      <c r="J16" s="1226">
        <v>0</v>
      </c>
      <c r="K16" s="1226">
        <v>0</v>
      </c>
      <c r="L16" s="1226">
        <v>0</v>
      </c>
      <c r="M16" s="1226">
        <v>0</v>
      </c>
      <c r="N16" s="1226">
        <v>0</v>
      </c>
      <c r="O16" s="1227">
        <f t="shared" si="16"/>
        <v>44699.986629999999</v>
      </c>
      <c r="P16" s="1223"/>
      <c r="Q16" s="1228">
        <v>45776</v>
      </c>
      <c r="R16" s="1218"/>
      <c r="S16" s="1232"/>
      <c r="T16" s="1223"/>
      <c r="U16" s="1229" t="str">
        <f t="shared" si="12"/>
        <v/>
      </c>
      <c r="V16" s="1229" t="str">
        <f t="shared" si="9"/>
        <v/>
      </c>
      <c r="W16" s="1229" t="str">
        <f t="shared" si="9"/>
        <v/>
      </c>
      <c r="X16" s="1229" t="str">
        <f t="shared" si="9"/>
        <v/>
      </c>
      <c r="Y16" s="1229">
        <f t="shared" si="9"/>
        <v>45776</v>
      </c>
      <c r="Z16" s="1229" t="str">
        <f t="shared" si="9"/>
        <v/>
      </c>
      <c r="AA16" s="1229" t="str">
        <f t="shared" si="9"/>
        <v/>
      </c>
      <c r="AB16" s="1229" t="str">
        <f t="shared" si="9"/>
        <v/>
      </c>
      <c r="AC16" s="1229" t="str">
        <f t="shared" si="9"/>
        <v/>
      </c>
      <c r="AD16" s="1229" t="str">
        <f t="shared" si="9"/>
        <v/>
      </c>
      <c r="AE16" s="1230">
        <f t="shared" si="13"/>
        <v>0</v>
      </c>
      <c r="AF16" s="1230">
        <f t="shared" si="10"/>
        <v>0</v>
      </c>
      <c r="AG16" s="1230">
        <f t="shared" si="10"/>
        <v>0</v>
      </c>
      <c r="AH16" s="1230">
        <f t="shared" si="10"/>
        <v>0</v>
      </c>
      <c r="AI16" s="1230">
        <f t="shared" si="10"/>
        <v>0.67397260273972603</v>
      </c>
      <c r="AJ16" s="1230">
        <f t="shared" si="10"/>
        <v>0</v>
      </c>
      <c r="AK16" s="1230">
        <f t="shared" si="10"/>
        <v>0</v>
      </c>
      <c r="AL16" s="1230">
        <f t="shared" si="10"/>
        <v>0</v>
      </c>
      <c r="AM16" s="1230">
        <f t="shared" si="10"/>
        <v>0</v>
      </c>
      <c r="AN16" s="1230">
        <f t="shared" si="10"/>
        <v>0</v>
      </c>
      <c r="AO16" s="1231">
        <f t="shared" si="14"/>
        <v>0</v>
      </c>
      <c r="AP16" s="1231">
        <f t="shared" si="11"/>
        <v>0</v>
      </c>
      <c r="AQ16" s="1231">
        <f t="shared" si="11"/>
        <v>0</v>
      </c>
      <c r="AR16" s="1231">
        <f t="shared" si="11"/>
        <v>0</v>
      </c>
      <c r="AS16" s="1231">
        <f t="shared" si="11"/>
        <v>30126.566331452053</v>
      </c>
      <c r="AT16" s="1231">
        <f t="shared" si="11"/>
        <v>0</v>
      </c>
      <c r="AU16" s="1231">
        <f t="shared" si="11"/>
        <v>0</v>
      </c>
      <c r="AV16" s="1231">
        <f t="shared" si="11"/>
        <v>0</v>
      </c>
      <c r="AW16" s="1231">
        <f t="shared" si="11"/>
        <v>0</v>
      </c>
      <c r="AX16" s="1231">
        <f t="shared" si="11"/>
        <v>0</v>
      </c>
    </row>
    <row r="17" spans="1:51" ht="15" outlineLevel="1" x14ac:dyDescent="0.25">
      <c r="A17" s="1218">
        <f t="shared" si="15"/>
        <v>8</v>
      </c>
      <c r="B17" s="1224" t="s">
        <v>758</v>
      </c>
      <c r="C17" s="1225"/>
      <c r="D17" s="1225"/>
      <c r="E17" s="1225"/>
      <c r="F17" s="1225"/>
      <c r="G17" s="1225"/>
      <c r="H17" s="1226">
        <v>0</v>
      </c>
      <c r="I17" s="1226">
        <v>117067.75133</v>
      </c>
      <c r="J17" s="1226">
        <v>0</v>
      </c>
      <c r="K17" s="1226">
        <v>0</v>
      </c>
      <c r="L17" s="1226">
        <v>0</v>
      </c>
      <c r="M17" s="1226">
        <v>0</v>
      </c>
      <c r="N17" s="1226">
        <v>0</v>
      </c>
      <c r="O17" s="1227">
        <f t="shared" si="16"/>
        <v>117067.75133</v>
      </c>
      <c r="P17" s="1223"/>
      <c r="Q17" s="1228">
        <v>45813</v>
      </c>
      <c r="R17" s="1218"/>
      <c r="S17" s="1232"/>
      <c r="T17" s="1223"/>
      <c r="U17" s="1229" t="str">
        <f t="shared" si="12"/>
        <v/>
      </c>
      <c r="V17" s="1229" t="str">
        <f t="shared" si="9"/>
        <v/>
      </c>
      <c r="W17" s="1229" t="str">
        <f t="shared" si="9"/>
        <v/>
      </c>
      <c r="X17" s="1229" t="str">
        <f t="shared" si="9"/>
        <v/>
      </c>
      <c r="Y17" s="1229">
        <f t="shared" si="9"/>
        <v>45813</v>
      </c>
      <c r="Z17" s="1229" t="str">
        <f t="shared" si="9"/>
        <v/>
      </c>
      <c r="AA17" s="1229" t="str">
        <f t="shared" si="9"/>
        <v/>
      </c>
      <c r="AB17" s="1229" t="str">
        <f t="shared" si="9"/>
        <v/>
      </c>
      <c r="AC17" s="1229" t="str">
        <f t="shared" si="9"/>
        <v/>
      </c>
      <c r="AD17" s="1229" t="str">
        <f t="shared" si="9"/>
        <v/>
      </c>
      <c r="AE17" s="1230">
        <f t="shared" si="13"/>
        <v>0</v>
      </c>
      <c r="AF17" s="1230">
        <f t="shared" si="10"/>
        <v>0</v>
      </c>
      <c r="AG17" s="1230">
        <f t="shared" si="10"/>
        <v>0</v>
      </c>
      <c r="AH17" s="1230">
        <f t="shared" si="10"/>
        <v>0</v>
      </c>
      <c r="AI17" s="1230">
        <f t="shared" si="10"/>
        <v>0.57260273972602738</v>
      </c>
      <c r="AJ17" s="1230">
        <f t="shared" si="10"/>
        <v>0</v>
      </c>
      <c r="AK17" s="1230">
        <f t="shared" si="10"/>
        <v>0</v>
      </c>
      <c r="AL17" s="1230">
        <f t="shared" si="10"/>
        <v>0</v>
      </c>
      <c r="AM17" s="1230">
        <f t="shared" si="10"/>
        <v>0</v>
      </c>
      <c r="AN17" s="1230">
        <f t="shared" si="10"/>
        <v>0</v>
      </c>
      <c r="AO17" s="1231">
        <f t="shared" si="14"/>
        <v>0</v>
      </c>
      <c r="AP17" s="1231">
        <f t="shared" si="11"/>
        <v>0</v>
      </c>
      <c r="AQ17" s="1231">
        <f t="shared" si="11"/>
        <v>0</v>
      </c>
      <c r="AR17" s="1231">
        <f t="shared" si="11"/>
        <v>0</v>
      </c>
      <c r="AS17" s="1231">
        <f t="shared" si="11"/>
        <v>67033.315145123284</v>
      </c>
      <c r="AT17" s="1231">
        <f t="shared" si="11"/>
        <v>0</v>
      </c>
      <c r="AU17" s="1231">
        <f t="shared" si="11"/>
        <v>0</v>
      </c>
      <c r="AV17" s="1231">
        <f t="shared" si="11"/>
        <v>0</v>
      </c>
      <c r="AW17" s="1231">
        <f t="shared" si="11"/>
        <v>0</v>
      </c>
      <c r="AX17" s="1231">
        <f t="shared" si="11"/>
        <v>0</v>
      </c>
    </row>
    <row r="18" spans="1:51" ht="15" outlineLevel="1" x14ac:dyDescent="0.25">
      <c r="A18" s="1218">
        <v>9</v>
      </c>
      <c r="B18" s="1224" t="s">
        <v>759</v>
      </c>
      <c r="C18" s="1225"/>
      <c r="D18" s="1225"/>
      <c r="E18" s="1225"/>
      <c r="F18" s="1225"/>
      <c r="G18" s="1225"/>
      <c r="H18" s="1226">
        <v>0</v>
      </c>
      <c r="I18" s="1226">
        <v>21699.8859443</v>
      </c>
      <c r="J18" s="1226">
        <v>0</v>
      </c>
      <c r="K18" s="1226">
        <v>0</v>
      </c>
      <c r="L18" s="1226">
        <v>0</v>
      </c>
      <c r="M18" s="1226">
        <v>0</v>
      </c>
      <c r="N18" s="1226">
        <v>0</v>
      </c>
      <c r="O18" s="1227">
        <f t="shared" si="16"/>
        <v>21699.8859443</v>
      </c>
      <c r="P18" s="1223"/>
      <c r="Q18" s="1228">
        <v>45954</v>
      </c>
      <c r="R18" s="1218"/>
      <c r="S18" s="1232"/>
      <c r="T18" s="1223"/>
      <c r="U18" s="1229" t="str">
        <f t="shared" si="12"/>
        <v/>
      </c>
      <c r="V18" s="1229" t="str">
        <f t="shared" si="9"/>
        <v/>
      </c>
      <c r="W18" s="1229" t="str">
        <f t="shared" si="9"/>
        <v/>
      </c>
      <c r="X18" s="1229" t="str">
        <f t="shared" si="9"/>
        <v/>
      </c>
      <c r="Y18" s="1229">
        <f t="shared" si="9"/>
        <v>45954</v>
      </c>
      <c r="Z18" s="1229" t="str">
        <f t="shared" si="9"/>
        <v/>
      </c>
      <c r="AA18" s="1229" t="str">
        <f t="shared" si="9"/>
        <v/>
      </c>
      <c r="AB18" s="1229" t="str">
        <f t="shared" si="9"/>
        <v/>
      </c>
      <c r="AC18" s="1229" t="str">
        <f t="shared" si="9"/>
        <v/>
      </c>
      <c r="AD18" s="1229" t="str">
        <f t="shared" si="9"/>
        <v/>
      </c>
      <c r="AE18" s="1230">
        <f t="shared" si="13"/>
        <v>0</v>
      </c>
      <c r="AF18" s="1230">
        <f t="shared" si="10"/>
        <v>0</v>
      </c>
      <c r="AG18" s="1230">
        <f t="shared" si="10"/>
        <v>0</v>
      </c>
      <c r="AH18" s="1230">
        <f t="shared" si="10"/>
        <v>0</v>
      </c>
      <c r="AI18" s="1230">
        <f t="shared" si="10"/>
        <v>0.18630136986301371</v>
      </c>
      <c r="AJ18" s="1230">
        <f t="shared" si="10"/>
        <v>0</v>
      </c>
      <c r="AK18" s="1230">
        <f t="shared" si="10"/>
        <v>0</v>
      </c>
      <c r="AL18" s="1230">
        <f t="shared" si="10"/>
        <v>0</v>
      </c>
      <c r="AM18" s="1230">
        <f t="shared" si="10"/>
        <v>0</v>
      </c>
      <c r="AN18" s="1230">
        <f t="shared" si="10"/>
        <v>0</v>
      </c>
      <c r="AO18" s="1231">
        <f t="shared" si="14"/>
        <v>0</v>
      </c>
      <c r="AP18" s="1231">
        <f t="shared" si="11"/>
        <v>0</v>
      </c>
      <c r="AQ18" s="1231">
        <f t="shared" si="11"/>
        <v>0</v>
      </c>
      <c r="AR18" s="1231">
        <f t="shared" si="11"/>
        <v>0</v>
      </c>
      <c r="AS18" s="1231">
        <f t="shared" si="11"/>
        <v>4042.7184772942469</v>
      </c>
      <c r="AT18" s="1231">
        <f t="shared" si="11"/>
        <v>0</v>
      </c>
      <c r="AU18" s="1231">
        <f t="shared" si="11"/>
        <v>0</v>
      </c>
      <c r="AV18" s="1231">
        <f t="shared" si="11"/>
        <v>0</v>
      </c>
      <c r="AW18" s="1231">
        <f t="shared" si="11"/>
        <v>0</v>
      </c>
      <c r="AX18" s="1231">
        <f t="shared" si="11"/>
        <v>0</v>
      </c>
    </row>
    <row r="19" spans="1:51" ht="15" outlineLevel="1" x14ac:dyDescent="0.25">
      <c r="A19" s="1218">
        <v>10</v>
      </c>
      <c r="B19" s="1224" t="s">
        <v>760</v>
      </c>
      <c r="C19" s="1225"/>
      <c r="D19" s="1225"/>
      <c r="E19" s="1225"/>
      <c r="F19" s="1225"/>
      <c r="G19" s="1225"/>
      <c r="H19" s="1226">
        <v>0</v>
      </c>
      <c r="I19" s="1226">
        <v>0</v>
      </c>
      <c r="J19" s="1226">
        <v>33734.791407500008</v>
      </c>
      <c r="K19" s="1226">
        <v>0</v>
      </c>
      <c r="L19" s="1226">
        <v>0</v>
      </c>
      <c r="M19" s="1226">
        <v>0</v>
      </c>
      <c r="N19" s="1226">
        <v>0</v>
      </c>
      <c r="O19" s="1227">
        <f t="shared" si="16"/>
        <v>33734.791407500008</v>
      </c>
      <c r="P19" s="1223"/>
      <c r="Q19" s="1228">
        <v>46182</v>
      </c>
      <c r="R19" s="1218"/>
      <c r="S19" s="1232"/>
      <c r="T19" s="1223"/>
      <c r="U19" s="1229" t="str">
        <f t="shared" si="12"/>
        <v/>
      </c>
      <c r="V19" s="1229" t="str">
        <f t="shared" si="9"/>
        <v/>
      </c>
      <c r="W19" s="1229" t="str">
        <f t="shared" si="9"/>
        <v/>
      </c>
      <c r="X19" s="1229" t="str">
        <f t="shared" si="9"/>
        <v/>
      </c>
      <c r="Y19" s="1229" t="str">
        <f t="shared" si="9"/>
        <v/>
      </c>
      <c r="Z19" s="1229">
        <f t="shared" si="9"/>
        <v>46182</v>
      </c>
      <c r="AA19" s="1229" t="str">
        <f t="shared" si="9"/>
        <v/>
      </c>
      <c r="AB19" s="1229" t="str">
        <f t="shared" si="9"/>
        <v/>
      </c>
      <c r="AC19" s="1229" t="str">
        <f t="shared" si="9"/>
        <v/>
      </c>
      <c r="AD19" s="1229" t="str">
        <f t="shared" si="9"/>
        <v/>
      </c>
      <c r="AE19" s="1230">
        <f t="shared" si="13"/>
        <v>0</v>
      </c>
      <c r="AF19" s="1230">
        <f t="shared" si="10"/>
        <v>0</v>
      </c>
      <c r="AG19" s="1230">
        <f t="shared" si="10"/>
        <v>0</v>
      </c>
      <c r="AH19" s="1230">
        <f t="shared" si="10"/>
        <v>0</v>
      </c>
      <c r="AI19" s="1230">
        <f t="shared" si="10"/>
        <v>0</v>
      </c>
      <c r="AJ19" s="1230">
        <f t="shared" si="10"/>
        <v>0.56164383561643838</v>
      </c>
      <c r="AK19" s="1230">
        <f t="shared" si="10"/>
        <v>0</v>
      </c>
      <c r="AL19" s="1230">
        <f t="shared" si="10"/>
        <v>0</v>
      </c>
      <c r="AM19" s="1230">
        <f t="shared" si="10"/>
        <v>0</v>
      </c>
      <c r="AN19" s="1230">
        <f t="shared" si="10"/>
        <v>0</v>
      </c>
      <c r="AO19" s="1231">
        <f t="shared" si="14"/>
        <v>0</v>
      </c>
      <c r="AP19" s="1231">
        <f t="shared" si="11"/>
        <v>0</v>
      </c>
      <c r="AQ19" s="1231">
        <f t="shared" si="11"/>
        <v>0</v>
      </c>
      <c r="AR19" s="1231">
        <f t="shared" si="11"/>
        <v>0</v>
      </c>
      <c r="AS19" s="1231">
        <f t="shared" si="11"/>
        <v>0</v>
      </c>
      <c r="AT19" s="1231">
        <f t="shared" si="11"/>
        <v>18946.937639828771</v>
      </c>
      <c r="AU19" s="1231">
        <f t="shared" si="11"/>
        <v>0</v>
      </c>
      <c r="AV19" s="1231">
        <f t="shared" si="11"/>
        <v>0</v>
      </c>
      <c r="AW19" s="1231">
        <f t="shared" si="11"/>
        <v>0</v>
      </c>
      <c r="AX19" s="1231">
        <f t="shared" si="11"/>
        <v>0</v>
      </c>
    </row>
    <row r="20" spans="1:51" ht="15" outlineLevel="1" x14ac:dyDescent="0.25">
      <c r="A20" s="1218">
        <f t="shared" si="15"/>
        <v>11</v>
      </c>
      <c r="B20" s="1224" t="s">
        <v>761</v>
      </c>
      <c r="C20" s="1225"/>
      <c r="D20" s="1225"/>
      <c r="E20" s="1225"/>
      <c r="F20" s="1225"/>
      <c r="G20" s="1225"/>
      <c r="H20" s="1226">
        <v>0</v>
      </c>
      <c r="I20" s="1226">
        <v>0</v>
      </c>
      <c r="J20" s="1226">
        <v>16156.204775000002</v>
      </c>
      <c r="K20" s="1226">
        <v>0</v>
      </c>
      <c r="L20" s="1226">
        <v>0</v>
      </c>
      <c r="M20" s="1226">
        <v>0</v>
      </c>
      <c r="N20" s="1226">
        <v>0</v>
      </c>
      <c r="O20" s="1227">
        <f t="shared" si="16"/>
        <v>16156.204775000002</v>
      </c>
      <c r="P20" s="1223"/>
      <c r="Q20" s="1228">
        <v>46182</v>
      </c>
      <c r="R20" s="1218"/>
      <c r="S20" s="1232"/>
      <c r="T20" s="1223"/>
      <c r="U20" s="1229" t="str">
        <f t="shared" si="12"/>
        <v/>
      </c>
      <c r="V20" s="1229" t="str">
        <f t="shared" si="9"/>
        <v/>
      </c>
      <c r="W20" s="1229" t="str">
        <f t="shared" si="9"/>
        <v/>
      </c>
      <c r="X20" s="1229" t="str">
        <f t="shared" si="9"/>
        <v/>
      </c>
      <c r="Y20" s="1229" t="str">
        <f t="shared" si="9"/>
        <v/>
      </c>
      <c r="Z20" s="1229">
        <f t="shared" si="9"/>
        <v>46182</v>
      </c>
      <c r="AA20" s="1229" t="str">
        <f t="shared" si="9"/>
        <v/>
      </c>
      <c r="AB20" s="1229" t="str">
        <f t="shared" si="9"/>
        <v/>
      </c>
      <c r="AC20" s="1229" t="str">
        <f t="shared" si="9"/>
        <v/>
      </c>
      <c r="AD20" s="1229" t="str">
        <f t="shared" si="9"/>
        <v/>
      </c>
      <c r="AE20" s="1230">
        <f t="shared" si="13"/>
        <v>0</v>
      </c>
      <c r="AF20" s="1230">
        <f t="shared" si="10"/>
        <v>0</v>
      </c>
      <c r="AG20" s="1230">
        <f t="shared" si="10"/>
        <v>0</v>
      </c>
      <c r="AH20" s="1230">
        <f t="shared" si="10"/>
        <v>0</v>
      </c>
      <c r="AI20" s="1230">
        <f t="shared" si="10"/>
        <v>0</v>
      </c>
      <c r="AJ20" s="1230">
        <f t="shared" si="10"/>
        <v>0.56164383561643838</v>
      </c>
      <c r="AK20" s="1230">
        <f t="shared" si="10"/>
        <v>0</v>
      </c>
      <c r="AL20" s="1230">
        <f t="shared" si="10"/>
        <v>0</v>
      </c>
      <c r="AM20" s="1230">
        <f t="shared" si="10"/>
        <v>0</v>
      </c>
      <c r="AN20" s="1230">
        <f t="shared" si="10"/>
        <v>0</v>
      </c>
      <c r="AO20" s="1231">
        <f t="shared" si="14"/>
        <v>0</v>
      </c>
      <c r="AP20" s="1231">
        <f t="shared" si="11"/>
        <v>0</v>
      </c>
      <c r="AQ20" s="1231">
        <f t="shared" si="11"/>
        <v>0</v>
      </c>
      <c r="AR20" s="1231">
        <f t="shared" si="11"/>
        <v>0</v>
      </c>
      <c r="AS20" s="1231">
        <f t="shared" si="11"/>
        <v>0</v>
      </c>
      <c r="AT20" s="1231">
        <f t="shared" si="11"/>
        <v>9074.0328188356179</v>
      </c>
      <c r="AU20" s="1231">
        <f t="shared" si="11"/>
        <v>0</v>
      </c>
      <c r="AV20" s="1231">
        <f t="shared" si="11"/>
        <v>0</v>
      </c>
      <c r="AW20" s="1231">
        <f t="shared" si="11"/>
        <v>0</v>
      </c>
      <c r="AX20" s="1231">
        <f t="shared" si="11"/>
        <v>0</v>
      </c>
    </row>
    <row r="21" spans="1:51" ht="15" hidden="1" outlineLevel="1" x14ac:dyDescent="0.25">
      <c r="A21" s="1218">
        <v>12</v>
      </c>
      <c r="B21" s="1224"/>
      <c r="C21" s="1225"/>
      <c r="D21" s="1225"/>
      <c r="E21" s="1225"/>
      <c r="F21" s="1225"/>
      <c r="G21" s="1225"/>
      <c r="H21" s="1226"/>
      <c r="I21" s="1226"/>
      <c r="J21" s="1226"/>
      <c r="K21" s="1226"/>
      <c r="L21" s="1226"/>
      <c r="M21" s="1226"/>
      <c r="N21" s="1226"/>
      <c r="O21" s="1227">
        <f t="shared" si="16"/>
        <v>0</v>
      </c>
      <c r="P21" s="1223"/>
      <c r="Q21" s="1228"/>
      <c r="R21" s="1218"/>
      <c r="S21" s="1232"/>
      <c r="T21" s="1223"/>
      <c r="U21" s="1229" t="str">
        <f t="shared" si="12"/>
        <v/>
      </c>
      <c r="V21" s="1229" t="str">
        <f t="shared" si="9"/>
        <v/>
      </c>
      <c r="W21" s="1229" t="str">
        <f t="shared" si="9"/>
        <v/>
      </c>
      <c r="X21" s="1229" t="str">
        <f t="shared" si="9"/>
        <v/>
      </c>
      <c r="Y21" s="1229" t="str">
        <f t="shared" si="9"/>
        <v/>
      </c>
      <c r="Z21" s="1229" t="str">
        <f t="shared" si="9"/>
        <v/>
      </c>
      <c r="AA21" s="1229" t="str">
        <f t="shared" si="9"/>
        <v/>
      </c>
      <c r="AB21" s="1229" t="str">
        <f t="shared" si="9"/>
        <v/>
      </c>
      <c r="AC21" s="1229" t="str">
        <f t="shared" si="9"/>
        <v/>
      </c>
      <c r="AD21" s="1229" t="str">
        <f t="shared" si="9"/>
        <v/>
      </c>
      <c r="AE21" s="1230">
        <f t="shared" si="13"/>
        <v>0</v>
      </c>
      <c r="AF21" s="1230">
        <f t="shared" si="10"/>
        <v>0</v>
      </c>
      <c r="AG21" s="1230">
        <f t="shared" si="10"/>
        <v>0</v>
      </c>
      <c r="AH21" s="1230">
        <f t="shared" si="10"/>
        <v>0</v>
      </c>
      <c r="AI21" s="1230">
        <f t="shared" si="10"/>
        <v>0</v>
      </c>
      <c r="AJ21" s="1230">
        <f t="shared" si="10"/>
        <v>0</v>
      </c>
      <c r="AK21" s="1230">
        <f t="shared" si="10"/>
        <v>0</v>
      </c>
      <c r="AL21" s="1230">
        <f t="shared" si="10"/>
        <v>0</v>
      </c>
      <c r="AM21" s="1230">
        <f t="shared" si="10"/>
        <v>0</v>
      </c>
      <c r="AN21" s="1230">
        <f t="shared" si="10"/>
        <v>0</v>
      </c>
      <c r="AO21" s="1231">
        <f t="shared" si="14"/>
        <v>0</v>
      </c>
      <c r="AP21" s="1231">
        <f t="shared" si="11"/>
        <v>0</v>
      </c>
      <c r="AQ21" s="1231">
        <f t="shared" si="11"/>
        <v>0</v>
      </c>
      <c r="AR21" s="1231">
        <f t="shared" si="11"/>
        <v>0</v>
      </c>
      <c r="AS21" s="1231">
        <f t="shared" si="11"/>
        <v>0</v>
      </c>
      <c r="AT21" s="1231">
        <f t="shared" si="11"/>
        <v>0</v>
      </c>
      <c r="AU21" s="1231">
        <f t="shared" si="11"/>
        <v>0</v>
      </c>
      <c r="AV21" s="1231">
        <f t="shared" si="11"/>
        <v>0</v>
      </c>
      <c r="AW21" s="1231">
        <f t="shared" si="11"/>
        <v>0</v>
      </c>
      <c r="AX21" s="1231">
        <f t="shared" si="11"/>
        <v>0</v>
      </c>
    </row>
    <row r="22" spans="1:51" ht="15" hidden="1" outlineLevel="1" x14ac:dyDescent="0.25">
      <c r="A22" s="1218">
        <v>13</v>
      </c>
      <c r="B22" s="1224"/>
      <c r="C22" s="1225"/>
      <c r="D22" s="1225"/>
      <c r="E22" s="1225"/>
      <c r="F22" s="1225"/>
      <c r="G22" s="1225"/>
      <c r="H22" s="1226"/>
      <c r="I22" s="1226"/>
      <c r="J22" s="1226"/>
      <c r="K22" s="1226"/>
      <c r="L22" s="1226"/>
      <c r="M22" s="1226"/>
      <c r="N22" s="1226"/>
      <c r="O22" s="1227">
        <f t="shared" si="16"/>
        <v>0</v>
      </c>
      <c r="P22" s="1223"/>
      <c r="Q22" s="1228"/>
      <c r="R22" s="1218"/>
      <c r="S22" s="1232"/>
      <c r="T22" s="1223"/>
      <c r="U22" s="1229" t="str">
        <f t="shared" si="12"/>
        <v/>
      </c>
      <c r="V22" s="1229" t="str">
        <f t="shared" si="9"/>
        <v/>
      </c>
      <c r="W22" s="1229" t="str">
        <f t="shared" si="9"/>
        <v/>
      </c>
      <c r="X22" s="1229" t="str">
        <f t="shared" si="9"/>
        <v/>
      </c>
      <c r="Y22" s="1229" t="str">
        <f t="shared" si="9"/>
        <v/>
      </c>
      <c r="Z22" s="1229" t="str">
        <f t="shared" si="9"/>
        <v/>
      </c>
      <c r="AA22" s="1229" t="str">
        <f t="shared" si="9"/>
        <v/>
      </c>
      <c r="AB22" s="1229" t="str">
        <f t="shared" si="9"/>
        <v/>
      </c>
      <c r="AC22" s="1229" t="str">
        <f t="shared" si="9"/>
        <v/>
      </c>
      <c r="AD22" s="1229" t="str">
        <f t="shared" si="9"/>
        <v/>
      </c>
      <c r="AE22" s="1230">
        <f t="shared" si="13"/>
        <v>0</v>
      </c>
      <c r="AF22" s="1230">
        <f t="shared" si="10"/>
        <v>0</v>
      </c>
      <c r="AG22" s="1230">
        <f t="shared" si="10"/>
        <v>0</v>
      </c>
      <c r="AH22" s="1230">
        <f t="shared" si="10"/>
        <v>0</v>
      </c>
      <c r="AI22" s="1230">
        <f t="shared" si="10"/>
        <v>0</v>
      </c>
      <c r="AJ22" s="1230">
        <f t="shared" si="10"/>
        <v>0</v>
      </c>
      <c r="AK22" s="1230">
        <f t="shared" si="10"/>
        <v>0</v>
      </c>
      <c r="AL22" s="1230">
        <f t="shared" si="10"/>
        <v>0</v>
      </c>
      <c r="AM22" s="1230">
        <f t="shared" si="10"/>
        <v>0</v>
      </c>
      <c r="AN22" s="1230">
        <f t="shared" si="10"/>
        <v>0</v>
      </c>
      <c r="AO22" s="1231">
        <f t="shared" si="14"/>
        <v>0</v>
      </c>
      <c r="AP22" s="1231">
        <f t="shared" si="11"/>
        <v>0</v>
      </c>
      <c r="AQ22" s="1231">
        <f t="shared" si="11"/>
        <v>0</v>
      </c>
      <c r="AR22" s="1231">
        <f t="shared" si="11"/>
        <v>0</v>
      </c>
      <c r="AS22" s="1231">
        <f t="shared" si="11"/>
        <v>0</v>
      </c>
      <c r="AT22" s="1231">
        <f t="shared" si="11"/>
        <v>0</v>
      </c>
      <c r="AU22" s="1231">
        <f t="shared" si="11"/>
        <v>0</v>
      </c>
      <c r="AV22" s="1231">
        <f t="shared" si="11"/>
        <v>0</v>
      </c>
      <c r="AW22" s="1231">
        <f t="shared" si="11"/>
        <v>0</v>
      </c>
      <c r="AX22" s="1231">
        <f t="shared" si="11"/>
        <v>0</v>
      </c>
    </row>
    <row r="23" spans="1:51" ht="15" hidden="1" outlineLevel="1" x14ac:dyDescent="0.25">
      <c r="A23" s="1218">
        <f t="shared" si="15"/>
        <v>14</v>
      </c>
      <c r="B23" s="1224"/>
      <c r="C23" s="1233"/>
      <c r="D23" s="1233"/>
      <c r="E23" s="1233"/>
      <c r="G23" s="1234"/>
      <c r="H23" s="1235"/>
      <c r="I23" s="1235"/>
      <c r="J23" s="1235"/>
      <c r="K23" s="1235"/>
      <c r="L23" s="1235"/>
      <c r="M23" s="1235"/>
      <c r="N23" s="1235"/>
      <c r="O23" s="1227">
        <f t="shared" si="16"/>
        <v>0</v>
      </c>
      <c r="P23" s="1223"/>
      <c r="Q23" s="1232"/>
      <c r="R23" s="1218"/>
      <c r="S23" s="1232"/>
      <c r="T23" s="1223"/>
      <c r="U23" s="1229" t="str">
        <f t="shared" si="12"/>
        <v/>
      </c>
      <c r="V23" s="1229" t="str">
        <f t="shared" si="9"/>
        <v/>
      </c>
      <c r="W23" s="1229" t="str">
        <f t="shared" si="9"/>
        <v/>
      </c>
      <c r="X23" s="1229" t="str">
        <f t="shared" si="9"/>
        <v/>
      </c>
      <c r="Y23" s="1229" t="str">
        <f t="shared" si="9"/>
        <v/>
      </c>
      <c r="Z23" s="1229" t="str">
        <f t="shared" si="9"/>
        <v/>
      </c>
      <c r="AA23" s="1229" t="str">
        <f t="shared" si="9"/>
        <v/>
      </c>
      <c r="AB23" s="1229" t="str">
        <f t="shared" si="9"/>
        <v/>
      </c>
      <c r="AC23" s="1229" t="str">
        <f t="shared" si="9"/>
        <v/>
      </c>
      <c r="AD23" s="1229" t="str">
        <f t="shared" si="9"/>
        <v/>
      </c>
      <c r="AE23" s="1230">
        <f t="shared" si="13"/>
        <v>0</v>
      </c>
      <c r="AF23" s="1230">
        <f t="shared" si="10"/>
        <v>0</v>
      </c>
      <c r="AG23" s="1230">
        <f t="shared" si="10"/>
        <v>0</v>
      </c>
      <c r="AH23" s="1230">
        <f t="shared" si="10"/>
        <v>0</v>
      </c>
      <c r="AI23" s="1230">
        <f t="shared" si="10"/>
        <v>0</v>
      </c>
      <c r="AJ23" s="1230">
        <f t="shared" si="10"/>
        <v>0</v>
      </c>
      <c r="AK23" s="1230">
        <f t="shared" si="10"/>
        <v>0</v>
      </c>
      <c r="AL23" s="1230">
        <f t="shared" si="10"/>
        <v>0</v>
      </c>
      <c r="AM23" s="1230">
        <f t="shared" si="10"/>
        <v>0</v>
      </c>
      <c r="AN23" s="1230">
        <f t="shared" si="10"/>
        <v>0</v>
      </c>
      <c r="AO23" s="1231">
        <f t="shared" si="14"/>
        <v>0</v>
      </c>
      <c r="AP23" s="1231">
        <f t="shared" si="11"/>
        <v>0</v>
      </c>
      <c r="AQ23" s="1231">
        <f t="shared" si="11"/>
        <v>0</v>
      </c>
      <c r="AR23" s="1231">
        <f t="shared" si="11"/>
        <v>0</v>
      </c>
      <c r="AS23" s="1231">
        <f t="shared" si="11"/>
        <v>0</v>
      </c>
      <c r="AT23" s="1231">
        <f t="shared" si="11"/>
        <v>0</v>
      </c>
      <c r="AU23" s="1231">
        <f t="shared" si="11"/>
        <v>0</v>
      </c>
      <c r="AV23" s="1231">
        <f t="shared" si="11"/>
        <v>0</v>
      </c>
      <c r="AW23" s="1231">
        <f t="shared" si="11"/>
        <v>0</v>
      </c>
      <c r="AX23" s="1231">
        <f t="shared" si="11"/>
        <v>0</v>
      </c>
    </row>
    <row r="24" spans="1:51" ht="15" hidden="1" x14ac:dyDescent="0.25">
      <c r="A24" s="1218">
        <v>15</v>
      </c>
      <c r="B24" s="1224"/>
      <c r="C24" s="1233"/>
      <c r="D24" s="1233"/>
      <c r="E24" s="1233"/>
      <c r="F24" s="1236"/>
      <c r="G24" s="1234"/>
      <c r="H24" s="1237"/>
      <c r="I24" s="1237"/>
      <c r="J24" s="1237"/>
      <c r="K24" s="1237"/>
      <c r="L24" s="1235"/>
      <c r="M24" s="1235"/>
      <c r="N24" s="1235"/>
      <c r="O24" s="1227">
        <f t="shared" si="16"/>
        <v>0</v>
      </c>
      <c r="P24" s="1223"/>
      <c r="Q24" s="1232"/>
      <c r="R24" s="1218"/>
      <c r="S24" s="1232"/>
      <c r="T24" s="1223"/>
      <c r="U24" s="1238"/>
      <c r="V24" s="1229"/>
      <c r="W24" s="1238"/>
      <c r="X24" s="1238"/>
      <c r="Y24" s="1238"/>
      <c r="Z24" s="1239"/>
      <c r="AA24" s="1232"/>
      <c r="AB24" s="1238"/>
      <c r="AC24" s="1238"/>
      <c r="AD24" s="1238"/>
      <c r="AE24" s="1230"/>
      <c r="AF24" s="1230"/>
      <c r="AG24" s="1230"/>
      <c r="AH24" s="1230"/>
      <c r="AI24" s="1230"/>
      <c r="AJ24" s="1230"/>
      <c r="AK24" s="1230"/>
      <c r="AL24" s="1230"/>
      <c r="AM24" s="1230"/>
      <c r="AN24" s="1230"/>
    </row>
    <row r="25" spans="1:51" ht="15" hidden="1" outlineLevel="1" x14ac:dyDescent="0.25">
      <c r="A25" s="1218">
        <v>16</v>
      </c>
      <c r="B25" s="1233"/>
      <c r="C25" s="1233"/>
      <c r="D25" s="1233"/>
      <c r="E25" s="1233"/>
      <c r="F25" s="1236"/>
      <c r="G25" s="1234"/>
      <c r="H25" s="1237"/>
      <c r="I25" s="1237"/>
      <c r="J25" s="1237"/>
      <c r="K25" s="1237"/>
      <c r="L25" s="1235"/>
      <c r="M25" s="1235"/>
      <c r="N25" s="1235"/>
      <c r="O25" s="1227">
        <f t="shared" si="16"/>
        <v>0</v>
      </c>
      <c r="P25" s="1223"/>
      <c r="Q25" s="1232"/>
      <c r="R25" s="1218"/>
      <c r="S25" s="1232"/>
      <c r="T25" s="1223"/>
      <c r="U25" s="1229"/>
      <c r="W25" s="1238"/>
      <c r="X25" s="1238"/>
      <c r="Y25" s="1238"/>
      <c r="Z25" s="1232"/>
      <c r="AA25" s="1232"/>
      <c r="AB25" s="1238"/>
      <c r="AC25" s="1238"/>
      <c r="AD25" s="1238"/>
      <c r="AE25" s="1230"/>
      <c r="AF25" s="1230"/>
      <c r="AG25" s="1230"/>
      <c r="AH25" s="1230"/>
      <c r="AI25" s="1230"/>
      <c r="AJ25" s="1230"/>
      <c r="AK25" s="1230"/>
      <c r="AL25" s="1230"/>
      <c r="AM25" s="1230"/>
      <c r="AN25" s="1230"/>
    </row>
    <row r="26" spans="1:51" ht="15" hidden="1" outlineLevel="1" x14ac:dyDescent="0.25">
      <c r="A26" s="1218">
        <f t="shared" si="15"/>
        <v>17</v>
      </c>
      <c r="B26" s="1233"/>
      <c r="C26" s="1233"/>
      <c r="D26" s="1233"/>
      <c r="E26" s="1233"/>
      <c r="F26" s="1236"/>
      <c r="G26" s="1234"/>
      <c r="H26" s="1237"/>
      <c r="I26" s="1187"/>
      <c r="J26" s="1237"/>
      <c r="K26" s="1237"/>
      <c r="L26" s="1235"/>
      <c r="M26" s="1237"/>
      <c r="N26" s="1237"/>
      <c r="O26" s="1227">
        <f t="shared" si="16"/>
        <v>0</v>
      </c>
      <c r="P26" s="1223"/>
      <c r="Q26" s="1232"/>
      <c r="R26" s="1228"/>
      <c r="S26" s="1232"/>
      <c r="T26" s="1223"/>
      <c r="U26" s="1238"/>
      <c r="V26" s="1238"/>
      <c r="W26" s="1229"/>
      <c r="X26" s="1229"/>
      <c r="Y26" s="1229"/>
      <c r="Z26" s="1232"/>
      <c r="AA26" s="1232"/>
      <c r="AB26" s="1238"/>
      <c r="AC26" s="1238"/>
      <c r="AD26" s="1238"/>
      <c r="AE26" s="1230"/>
      <c r="AF26" s="1230"/>
      <c r="AG26" s="1230"/>
      <c r="AH26" s="1230"/>
      <c r="AI26" s="1230"/>
      <c r="AJ26" s="1230"/>
      <c r="AK26" s="1230"/>
      <c r="AL26" s="1230"/>
      <c r="AM26" s="1230"/>
      <c r="AN26" s="1230"/>
    </row>
    <row r="27" spans="1:51" s="1236" customFormat="1" ht="15" hidden="1" outlineLevel="1" x14ac:dyDescent="0.25">
      <c r="A27" s="1218"/>
      <c r="B27" s="1233"/>
      <c r="C27" s="1233"/>
      <c r="D27" s="1233"/>
      <c r="E27" s="1233"/>
      <c r="F27" s="1233"/>
      <c r="G27" s="1237"/>
      <c r="H27" s="1237"/>
      <c r="I27" s="1237"/>
      <c r="J27" s="1237"/>
      <c r="K27" s="1237"/>
      <c r="L27" s="1237"/>
      <c r="M27" s="1237"/>
      <c r="N27" s="1237"/>
      <c r="O27" s="1227">
        <f t="shared" si="16"/>
        <v>0</v>
      </c>
      <c r="P27" s="1223"/>
      <c r="Q27" s="1232"/>
      <c r="R27" s="1218"/>
      <c r="S27" s="1232"/>
      <c r="T27" s="1223"/>
      <c r="U27" s="1240"/>
      <c r="V27" s="1229"/>
      <c r="W27" s="1240"/>
      <c r="X27" s="1240"/>
      <c r="Y27" s="1240"/>
      <c r="Z27" s="1232"/>
      <c r="AA27" s="1240"/>
      <c r="AB27" s="1240"/>
      <c r="AC27" s="1240"/>
      <c r="AD27" s="1240"/>
      <c r="AE27" s="1230"/>
      <c r="AF27" s="1230"/>
      <c r="AG27" s="1230"/>
      <c r="AH27" s="1230"/>
      <c r="AI27" s="1230"/>
      <c r="AJ27" s="1230"/>
      <c r="AK27" s="1230"/>
      <c r="AL27" s="1230"/>
      <c r="AM27" s="1230"/>
      <c r="AN27" s="1230"/>
      <c r="AQ27" s="1188"/>
      <c r="AR27" s="1188"/>
      <c r="AY27" s="1188"/>
    </row>
    <row r="28" spans="1:51" s="1236" customFormat="1" ht="15" hidden="1" outlineLevel="1" x14ac:dyDescent="0.25">
      <c r="A28" s="1218"/>
      <c r="B28" s="1233"/>
      <c r="C28" s="1233"/>
      <c r="D28" s="1233"/>
      <c r="E28" s="1233"/>
      <c r="F28" s="1233"/>
      <c r="G28" s="1237"/>
      <c r="H28" s="1237"/>
      <c r="I28" s="1237"/>
      <c r="J28" s="1237"/>
      <c r="K28" s="1237"/>
      <c r="L28" s="1237"/>
      <c r="M28" s="1237"/>
      <c r="N28" s="1237"/>
      <c r="O28" s="1227">
        <f t="shared" si="16"/>
        <v>0</v>
      </c>
      <c r="P28" s="1223"/>
      <c r="Q28" s="1232"/>
      <c r="R28" s="1218"/>
      <c r="S28" s="1232"/>
      <c r="T28" s="1223"/>
      <c r="U28" s="1240"/>
      <c r="V28" s="1229"/>
      <c r="W28" s="1229"/>
      <c r="X28" s="1229"/>
      <c r="Y28" s="1240"/>
      <c r="Z28" s="1232"/>
      <c r="AA28" s="1240"/>
      <c r="AB28" s="1240"/>
      <c r="AC28" s="1240"/>
      <c r="AD28" s="1240"/>
      <c r="AE28" s="1230"/>
      <c r="AF28" s="1230"/>
      <c r="AG28" s="1230"/>
      <c r="AH28" s="1230"/>
      <c r="AI28" s="1230"/>
      <c r="AJ28" s="1230"/>
      <c r="AK28" s="1230"/>
      <c r="AL28" s="1230"/>
      <c r="AM28" s="1230"/>
      <c r="AN28" s="1230"/>
      <c r="AQ28" s="1188"/>
      <c r="AR28" s="1188"/>
      <c r="AY28" s="1188"/>
    </row>
    <row r="29" spans="1:51" s="1236" customFormat="1" ht="15" hidden="1" outlineLevel="1" x14ac:dyDescent="0.25">
      <c r="A29" s="1218"/>
      <c r="B29" s="1233"/>
      <c r="C29" s="1233"/>
      <c r="D29" s="1233"/>
      <c r="E29" s="1233"/>
      <c r="F29" s="1233"/>
      <c r="G29" s="1237"/>
      <c r="H29" s="1237"/>
      <c r="I29" s="1237"/>
      <c r="J29" s="1237"/>
      <c r="K29" s="1237"/>
      <c r="L29" s="1237"/>
      <c r="M29" s="1237"/>
      <c r="N29" s="1237"/>
      <c r="O29" s="1227">
        <f t="shared" si="16"/>
        <v>0</v>
      </c>
      <c r="P29" s="1223"/>
      <c r="Q29" s="1232"/>
      <c r="R29" s="1218"/>
      <c r="S29" s="1232"/>
      <c r="T29" s="1223"/>
      <c r="U29" s="1240"/>
      <c r="V29" s="1229"/>
      <c r="W29" s="1229"/>
      <c r="X29" s="1229"/>
      <c r="Y29" s="1240"/>
      <c r="Z29" s="1232"/>
      <c r="AA29" s="1240"/>
      <c r="AB29" s="1240"/>
      <c r="AC29" s="1240"/>
      <c r="AD29" s="1240"/>
      <c r="AE29" s="1230"/>
      <c r="AF29" s="1230"/>
      <c r="AG29" s="1230"/>
      <c r="AH29" s="1230"/>
      <c r="AI29" s="1230"/>
      <c r="AJ29" s="1230"/>
      <c r="AK29" s="1230"/>
      <c r="AL29" s="1230"/>
      <c r="AM29" s="1230"/>
      <c r="AN29" s="1230"/>
      <c r="AQ29" s="1188"/>
      <c r="AR29" s="1188"/>
      <c r="AY29" s="1188"/>
    </row>
    <row r="30" spans="1:51" s="1208" customFormat="1" ht="15" hidden="1" outlineLevel="1" x14ac:dyDescent="0.25">
      <c r="A30" s="1204"/>
      <c r="B30" s="1241" t="s">
        <v>714</v>
      </c>
      <c r="C30" s="1241"/>
      <c r="D30" s="1241"/>
      <c r="E30" s="1241"/>
      <c r="F30" s="1241"/>
      <c r="G30" s="1216"/>
      <c r="H30" s="1216"/>
      <c r="I30" s="1216"/>
      <c r="J30" s="1216"/>
      <c r="K30" s="1216"/>
      <c r="L30" s="1216"/>
      <c r="M30" s="1216"/>
      <c r="N30" s="1216"/>
      <c r="O30" s="1216"/>
      <c r="P30" s="1216"/>
      <c r="Q30" s="1242"/>
      <c r="R30" s="1204"/>
      <c r="S30" s="1242"/>
      <c r="T30" s="1216"/>
      <c r="V30" s="1242"/>
      <c r="W30" s="1242"/>
      <c r="X30" s="1242"/>
      <c r="AE30" s="1243"/>
      <c r="AF30" s="1243"/>
      <c r="AG30" s="1243"/>
      <c r="AH30" s="1243"/>
      <c r="AI30" s="1243"/>
      <c r="AJ30" s="1243"/>
      <c r="AK30" s="1243"/>
      <c r="AL30" s="1243"/>
      <c r="AM30" s="1243"/>
      <c r="AN30" s="1243"/>
    </row>
    <row r="31" spans="1:51" s="1236" customFormat="1" ht="15" hidden="1" outlineLevel="1" x14ac:dyDescent="0.25">
      <c r="A31" s="1218">
        <v>18</v>
      </c>
      <c r="B31" s="1233" t="s">
        <v>716</v>
      </c>
      <c r="C31" s="1225"/>
      <c r="D31" s="1225"/>
      <c r="E31" s="1225"/>
      <c r="F31" s="1225"/>
      <c r="G31" s="1225"/>
      <c r="H31" s="1226">
        <v>0</v>
      </c>
      <c r="I31" s="1226">
        <v>0</v>
      </c>
      <c r="J31" s="1226">
        <v>0</v>
      </c>
      <c r="K31" s="1226">
        <v>0</v>
      </c>
      <c r="L31" s="1226">
        <v>0</v>
      </c>
      <c r="M31" s="1226">
        <v>0</v>
      </c>
      <c r="N31" s="1226">
        <v>0</v>
      </c>
      <c r="O31" s="1227">
        <f t="shared" ref="O31:O46" si="17">SUM(C31:N31)</f>
        <v>0</v>
      </c>
      <c r="P31" s="1223"/>
      <c r="Q31" s="1232">
        <v>46033</v>
      </c>
      <c r="R31" s="1218"/>
      <c r="S31" s="1232"/>
      <c r="T31" s="1223"/>
      <c r="U31" s="1229" t="str">
        <f t="shared" ref="U31:AD46" si="18">IF(U$6=YEAR($Q31),$Q31,"")</f>
        <v/>
      </c>
      <c r="V31" s="1229" t="str">
        <f t="shared" si="18"/>
        <v/>
      </c>
      <c r="W31" s="1229" t="str">
        <f t="shared" si="18"/>
        <v/>
      </c>
      <c r="X31" s="1229" t="str">
        <f t="shared" si="18"/>
        <v/>
      </c>
      <c r="Y31" s="1229" t="str">
        <f t="shared" si="18"/>
        <v/>
      </c>
      <c r="Z31" s="1229">
        <f t="shared" si="18"/>
        <v>46033</v>
      </c>
      <c r="AA31" s="1229" t="str">
        <f t="shared" si="18"/>
        <v/>
      </c>
      <c r="AB31" s="1229" t="str">
        <f t="shared" si="18"/>
        <v/>
      </c>
      <c r="AC31" s="1229" t="str">
        <f t="shared" si="18"/>
        <v/>
      </c>
      <c r="AD31" s="1229" t="str">
        <f t="shared" si="18"/>
        <v/>
      </c>
      <c r="AE31" s="1230">
        <f t="shared" ref="AE31:AJ46" si="19">IF(U31="",,(DATE(AE$6,12,31)-U31)/365)</f>
        <v>0</v>
      </c>
      <c r="AF31" s="1230">
        <f t="shared" si="19"/>
        <v>0</v>
      </c>
      <c r="AG31" s="1230">
        <f t="shared" si="19"/>
        <v>0</v>
      </c>
      <c r="AH31" s="1230">
        <f t="shared" si="19"/>
        <v>0</v>
      </c>
      <c r="AI31" s="1230">
        <f t="shared" si="19"/>
        <v>0</v>
      </c>
      <c r="AJ31" s="1230">
        <f>IF(Z31="",,(DATE(AJ$6,12,31)-Z31)/365)</f>
        <v>0.96986301369863015</v>
      </c>
      <c r="AK31" s="1230">
        <f t="shared" ref="AK31:AN46" si="20">IF(AA31="",,(DATE(AK$6,12,31)-AA31)/365)</f>
        <v>0</v>
      </c>
      <c r="AL31" s="1230">
        <f t="shared" si="20"/>
        <v>0</v>
      </c>
      <c r="AM31" s="1230">
        <f t="shared" si="20"/>
        <v>0</v>
      </c>
      <c r="AN31" s="1230">
        <f t="shared" si="20"/>
        <v>0</v>
      </c>
      <c r="AO31" s="1231">
        <f t="shared" ref="AO31:AX46" si="21">AE31*E31</f>
        <v>0</v>
      </c>
      <c r="AP31" s="1231">
        <f t="shared" si="21"/>
        <v>0</v>
      </c>
      <c r="AQ31" s="1231">
        <f t="shared" si="21"/>
        <v>0</v>
      </c>
      <c r="AR31" s="1231">
        <f t="shared" si="21"/>
        <v>0</v>
      </c>
      <c r="AS31" s="1231">
        <f t="shared" si="21"/>
        <v>0</v>
      </c>
      <c r="AT31" s="1231">
        <f t="shared" si="21"/>
        <v>0</v>
      </c>
      <c r="AU31" s="1231">
        <f t="shared" si="21"/>
        <v>0</v>
      </c>
      <c r="AV31" s="1231">
        <f t="shared" si="21"/>
        <v>0</v>
      </c>
      <c r="AW31" s="1231">
        <f t="shared" si="21"/>
        <v>0</v>
      </c>
      <c r="AX31" s="1231">
        <f t="shared" si="21"/>
        <v>0</v>
      </c>
      <c r="AY31" s="1188"/>
    </row>
    <row r="32" spans="1:51" ht="15" hidden="1" outlineLevel="1" x14ac:dyDescent="0.25">
      <c r="A32" s="1218">
        <v>19</v>
      </c>
      <c r="B32" s="1233" t="s">
        <v>762</v>
      </c>
      <c r="C32" s="1225"/>
      <c r="D32" s="1225"/>
      <c r="E32" s="1225"/>
      <c r="F32" s="1225"/>
      <c r="G32" s="1225"/>
      <c r="H32" s="1226">
        <v>0</v>
      </c>
      <c r="I32" s="1226">
        <v>0</v>
      </c>
      <c r="J32" s="1226">
        <v>0</v>
      </c>
      <c r="K32" s="1226">
        <v>0</v>
      </c>
      <c r="L32" s="1226">
        <v>0</v>
      </c>
      <c r="M32" s="1226">
        <v>0</v>
      </c>
      <c r="N32" s="1226">
        <v>0</v>
      </c>
      <c r="O32" s="1227">
        <f t="shared" si="17"/>
        <v>0</v>
      </c>
      <c r="P32" s="1223"/>
      <c r="Q32" s="1232">
        <v>46074</v>
      </c>
      <c r="R32" s="1228"/>
      <c r="S32" s="1232"/>
      <c r="T32" s="1223"/>
      <c r="U32" s="1229" t="str">
        <f t="shared" si="18"/>
        <v/>
      </c>
      <c r="V32" s="1229" t="str">
        <f t="shared" si="18"/>
        <v/>
      </c>
      <c r="W32" s="1229" t="str">
        <f t="shared" si="18"/>
        <v/>
      </c>
      <c r="X32" s="1229" t="str">
        <f t="shared" si="18"/>
        <v/>
      </c>
      <c r="Y32" s="1229" t="str">
        <f t="shared" si="18"/>
        <v/>
      </c>
      <c r="Z32" s="1229">
        <f t="shared" si="18"/>
        <v>46074</v>
      </c>
      <c r="AA32" s="1229" t="str">
        <f t="shared" si="18"/>
        <v/>
      </c>
      <c r="AB32" s="1229" t="str">
        <f t="shared" si="18"/>
        <v/>
      </c>
      <c r="AC32" s="1229" t="str">
        <f t="shared" si="18"/>
        <v/>
      </c>
      <c r="AD32" s="1229" t="str">
        <f t="shared" si="18"/>
        <v/>
      </c>
      <c r="AE32" s="1230">
        <f t="shared" si="19"/>
        <v>0</v>
      </c>
      <c r="AF32" s="1230">
        <f t="shared" si="19"/>
        <v>0</v>
      </c>
      <c r="AG32" s="1230">
        <f t="shared" si="19"/>
        <v>0</v>
      </c>
      <c r="AH32" s="1230">
        <f t="shared" si="19"/>
        <v>0</v>
      </c>
      <c r="AI32" s="1230">
        <f t="shared" si="19"/>
        <v>0</v>
      </c>
      <c r="AJ32" s="1230">
        <f t="shared" si="19"/>
        <v>0.8575342465753425</v>
      </c>
      <c r="AK32" s="1230">
        <f t="shared" si="20"/>
        <v>0</v>
      </c>
      <c r="AL32" s="1230">
        <f t="shared" si="20"/>
        <v>0</v>
      </c>
      <c r="AM32" s="1230">
        <f t="shared" si="20"/>
        <v>0</v>
      </c>
      <c r="AN32" s="1230">
        <f t="shared" si="20"/>
        <v>0</v>
      </c>
      <c r="AO32" s="1231">
        <f t="shared" si="21"/>
        <v>0</v>
      </c>
      <c r="AP32" s="1231">
        <f t="shared" si="21"/>
        <v>0</v>
      </c>
      <c r="AQ32" s="1231">
        <f t="shared" si="21"/>
        <v>0</v>
      </c>
      <c r="AR32" s="1231">
        <f t="shared" si="21"/>
        <v>0</v>
      </c>
      <c r="AS32" s="1231">
        <f t="shared" si="21"/>
        <v>0</v>
      </c>
      <c r="AT32" s="1231">
        <f t="shared" si="21"/>
        <v>0</v>
      </c>
      <c r="AU32" s="1231">
        <f t="shared" si="21"/>
        <v>0</v>
      </c>
      <c r="AV32" s="1231">
        <f t="shared" si="21"/>
        <v>0</v>
      </c>
      <c r="AW32" s="1231">
        <f t="shared" si="21"/>
        <v>0</v>
      </c>
      <c r="AX32" s="1231">
        <f t="shared" si="21"/>
        <v>0</v>
      </c>
    </row>
    <row r="33" spans="1:50" ht="15" hidden="1" outlineLevel="1" x14ac:dyDescent="0.25">
      <c r="A33" s="1218">
        <v>20</v>
      </c>
      <c r="B33" s="1233" t="s">
        <v>763</v>
      </c>
      <c r="C33" s="1225"/>
      <c r="D33" s="1225"/>
      <c r="E33" s="1225"/>
      <c r="F33" s="1225"/>
      <c r="G33" s="1225"/>
      <c r="H33" s="1226">
        <v>0</v>
      </c>
      <c r="I33" s="1226">
        <v>0</v>
      </c>
      <c r="J33" s="1226">
        <v>0</v>
      </c>
      <c r="K33" s="1226">
        <v>0</v>
      </c>
      <c r="L33" s="1226">
        <v>0</v>
      </c>
      <c r="M33" s="1226">
        <v>0</v>
      </c>
      <c r="N33" s="1226">
        <v>0</v>
      </c>
      <c r="O33" s="1227">
        <f t="shared" si="17"/>
        <v>0</v>
      </c>
      <c r="P33" s="1223"/>
      <c r="Q33" s="1232">
        <v>46187</v>
      </c>
      <c r="R33" s="1228"/>
      <c r="S33" s="1232"/>
      <c r="T33" s="1223"/>
      <c r="U33" s="1229" t="str">
        <f t="shared" si="18"/>
        <v/>
      </c>
      <c r="V33" s="1229" t="str">
        <f t="shared" si="18"/>
        <v/>
      </c>
      <c r="W33" s="1229" t="str">
        <f t="shared" si="18"/>
        <v/>
      </c>
      <c r="X33" s="1229" t="str">
        <f t="shared" si="18"/>
        <v/>
      </c>
      <c r="Y33" s="1229" t="str">
        <f t="shared" si="18"/>
        <v/>
      </c>
      <c r="Z33" s="1229">
        <f t="shared" si="18"/>
        <v>46187</v>
      </c>
      <c r="AA33" s="1229" t="str">
        <f t="shared" si="18"/>
        <v/>
      </c>
      <c r="AB33" s="1229" t="str">
        <f t="shared" si="18"/>
        <v/>
      </c>
      <c r="AC33" s="1229" t="str">
        <f t="shared" si="18"/>
        <v/>
      </c>
      <c r="AD33" s="1229" t="str">
        <f t="shared" si="18"/>
        <v/>
      </c>
      <c r="AE33" s="1230">
        <f t="shared" si="19"/>
        <v>0</v>
      </c>
      <c r="AF33" s="1230">
        <f t="shared" si="19"/>
        <v>0</v>
      </c>
      <c r="AG33" s="1230">
        <f t="shared" si="19"/>
        <v>0</v>
      </c>
      <c r="AH33" s="1230">
        <f t="shared" si="19"/>
        <v>0</v>
      </c>
      <c r="AI33" s="1230">
        <f t="shared" si="19"/>
        <v>0</v>
      </c>
      <c r="AJ33" s="1230">
        <f t="shared" si="19"/>
        <v>0.54794520547945202</v>
      </c>
      <c r="AK33" s="1230">
        <f t="shared" si="20"/>
        <v>0</v>
      </c>
      <c r="AL33" s="1230">
        <f t="shared" si="20"/>
        <v>0</v>
      </c>
      <c r="AM33" s="1230">
        <f t="shared" si="20"/>
        <v>0</v>
      </c>
      <c r="AN33" s="1230">
        <f t="shared" si="20"/>
        <v>0</v>
      </c>
      <c r="AO33" s="1231">
        <f t="shared" si="21"/>
        <v>0</v>
      </c>
      <c r="AP33" s="1231">
        <f t="shared" si="21"/>
        <v>0</v>
      </c>
      <c r="AQ33" s="1231">
        <f t="shared" si="21"/>
        <v>0</v>
      </c>
      <c r="AR33" s="1231">
        <f t="shared" si="21"/>
        <v>0</v>
      </c>
      <c r="AS33" s="1231">
        <f t="shared" si="21"/>
        <v>0</v>
      </c>
      <c r="AT33" s="1231">
        <f t="shared" si="21"/>
        <v>0</v>
      </c>
      <c r="AU33" s="1231">
        <f t="shared" si="21"/>
        <v>0</v>
      </c>
      <c r="AV33" s="1231">
        <f t="shared" si="21"/>
        <v>0</v>
      </c>
      <c r="AW33" s="1231">
        <f t="shared" si="21"/>
        <v>0</v>
      </c>
      <c r="AX33" s="1231">
        <f t="shared" si="21"/>
        <v>0</v>
      </c>
    </row>
    <row r="34" spans="1:50" ht="15" hidden="1" outlineLevel="1" x14ac:dyDescent="0.25">
      <c r="B34" s="1233" t="s">
        <v>764</v>
      </c>
      <c r="C34" s="1225"/>
      <c r="D34" s="1225"/>
      <c r="E34" s="1225"/>
      <c r="F34" s="1225"/>
      <c r="G34" s="1225"/>
      <c r="H34" s="1226">
        <v>0</v>
      </c>
      <c r="I34" s="1226">
        <v>0</v>
      </c>
      <c r="J34" s="1226">
        <v>0</v>
      </c>
      <c r="K34" s="1226">
        <v>0</v>
      </c>
      <c r="L34" s="1226">
        <v>0</v>
      </c>
      <c r="M34" s="1226">
        <v>0</v>
      </c>
      <c r="N34" s="1226">
        <v>0</v>
      </c>
      <c r="O34" s="1227">
        <f t="shared" si="17"/>
        <v>0</v>
      </c>
      <c r="P34" s="1223"/>
      <c r="Q34" s="1232">
        <v>45953</v>
      </c>
      <c r="R34" s="1228"/>
      <c r="S34" s="1232"/>
      <c r="T34" s="1223"/>
      <c r="U34" s="1229" t="str">
        <f t="shared" si="18"/>
        <v/>
      </c>
      <c r="V34" s="1229" t="str">
        <f t="shared" si="18"/>
        <v/>
      </c>
      <c r="W34" s="1229" t="str">
        <f t="shared" si="18"/>
        <v/>
      </c>
      <c r="X34" s="1229" t="str">
        <f t="shared" si="18"/>
        <v/>
      </c>
      <c r="Y34" s="1229">
        <f t="shared" si="18"/>
        <v>45953</v>
      </c>
      <c r="Z34" s="1229" t="str">
        <f t="shared" si="18"/>
        <v/>
      </c>
      <c r="AA34" s="1229" t="str">
        <f t="shared" si="18"/>
        <v/>
      </c>
      <c r="AB34" s="1229" t="str">
        <f t="shared" si="18"/>
        <v/>
      </c>
      <c r="AC34" s="1229" t="str">
        <f t="shared" si="18"/>
        <v/>
      </c>
      <c r="AD34" s="1229" t="str">
        <f t="shared" si="18"/>
        <v/>
      </c>
      <c r="AE34" s="1230">
        <f t="shared" si="19"/>
        <v>0</v>
      </c>
      <c r="AF34" s="1230">
        <f t="shared" si="19"/>
        <v>0</v>
      </c>
      <c r="AG34" s="1230">
        <f t="shared" si="19"/>
        <v>0</v>
      </c>
      <c r="AH34" s="1230">
        <f t="shared" si="19"/>
        <v>0</v>
      </c>
      <c r="AI34" s="1230">
        <f t="shared" si="19"/>
        <v>0.18904109589041096</v>
      </c>
      <c r="AJ34" s="1230">
        <f t="shared" si="19"/>
        <v>0</v>
      </c>
      <c r="AK34" s="1230">
        <f t="shared" si="20"/>
        <v>0</v>
      </c>
      <c r="AL34" s="1230">
        <f t="shared" si="20"/>
        <v>0</v>
      </c>
      <c r="AM34" s="1230">
        <f t="shared" si="20"/>
        <v>0</v>
      </c>
      <c r="AN34" s="1230">
        <f t="shared" si="20"/>
        <v>0</v>
      </c>
      <c r="AO34" s="1231">
        <f t="shared" si="21"/>
        <v>0</v>
      </c>
      <c r="AP34" s="1231">
        <f t="shared" si="21"/>
        <v>0</v>
      </c>
      <c r="AQ34" s="1231">
        <f t="shared" si="21"/>
        <v>0</v>
      </c>
      <c r="AR34" s="1231">
        <f t="shared" si="21"/>
        <v>0</v>
      </c>
      <c r="AS34" s="1231">
        <f t="shared" si="21"/>
        <v>0</v>
      </c>
      <c r="AT34" s="1231">
        <f t="shared" si="21"/>
        <v>0</v>
      </c>
      <c r="AU34" s="1231">
        <f t="shared" si="21"/>
        <v>0</v>
      </c>
      <c r="AV34" s="1231">
        <f t="shared" si="21"/>
        <v>0</v>
      </c>
      <c r="AW34" s="1231">
        <f t="shared" si="21"/>
        <v>0</v>
      </c>
      <c r="AX34" s="1231">
        <f t="shared" si="21"/>
        <v>0</v>
      </c>
    </row>
    <row r="35" spans="1:50" ht="15" hidden="1" outlineLevel="1" x14ac:dyDescent="0.25">
      <c r="B35" s="1233" t="s">
        <v>765</v>
      </c>
      <c r="C35" s="1225"/>
      <c r="D35" s="1225"/>
      <c r="E35" s="1225"/>
      <c r="F35" s="1225"/>
      <c r="G35" s="1225"/>
      <c r="H35" s="1226">
        <v>0</v>
      </c>
      <c r="I35" s="1226">
        <v>0</v>
      </c>
      <c r="J35" s="1226">
        <v>0</v>
      </c>
      <c r="K35" s="1226">
        <v>0</v>
      </c>
      <c r="L35" s="1226">
        <v>0</v>
      </c>
      <c r="M35" s="1226">
        <v>0</v>
      </c>
      <c r="N35" s="1226">
        <v>0</v>
      </c>
      <c r="O35" s="1227">
        <f t="shared" si="17"/>
        <v>0</v>
      </c>
      <c r="P35" s="1223"/>
      <c r="Q35" s="1232">
        <v>46325</v>
      </c>
      <c r="R35" s="1228"/>
      <c r="S35" s="1232"/>
      <c r="T35" s="1223"/>
      <c r="U35" s="1229" t="str">
        <f t="shared" si="18"/>
        <v/>
      </c>
      <c r="V35" s="1229" t="str">
        <f t="shared" si="18"/>
        <v/>
      </c>
      <c r="W35" s="1229" t="str">
        <f t="shared" si="18"/>
        <v/>
      </c>
      <c r="X35" s="1229" t="str">
        <f t="shared" si="18"/>
        <v/>
      </c>
      <c r="Y35" s="1229" t="str">
        <f t="shared" si="18"/>
        <v/>
      </c>
      <c r="Z35" s="1229">
        <f t="shared" si="18"/>
        <v>46325</v>
      </c>
      <c r="AA35" s="1229" t="str">
        <f t="shared" si="18"/>
        <v/>
      </c>
      <c r="AB35" s="1229" t="str">
        <f t="shared" si="18"/>
        <v/>
      </c>
      <c r="AC35" s="1229" t="str">
        <f t="shared" si="18"/>
        <v/>
      </c>
      <c r="AD35" s="1229" t="str">
        <f t="shared" si="18"/>
        <v/>
      </c>
      <c r="AE35" s="1230">
        <f t="shared" si="19"/>
        <v>0</v>
      </c>
      <c r="AF35" s="1230">
        <f t="shared" si="19"/>
        <v>0</v>
      </c>
      <c r="AG35" s="1230">
        <f t="shared" si="19"/>
        <v>0</v>
      </c>
      <c r="AH35" s="1230">
        <f t="shared" si="19"/>
        <v>0</v>
      </c>
      <c r="AI35" s="1230">
        <f t="shared" si="19"/>
        <v>0</v>
      </c>
      <c r="AJ35" s="1230">
        <f t="shared" si="19"/>
        <v>0.16986301369863013</v>
      </c>
      <c r="AK35" s="1230">
        <f t="shared" si="20"/>
        <v>0</v>
      </c>
      <c r="AL35" s="1230">
        <f t="shared" si="20"/>
        <v>0</v>
      </c>
      <c r="AM35" s="1230">
        <f t="shared" si="20"/>
        <v>0</v>
      </c>
      <c r="AN35" s="1230">
        <f t="shared" si="20"/>
        <v>0</v>
      </c>
      <c r="AO35" s="1231">
        <f t="shared" si="21"/>
        <v>0</v>
      </c>
      <c r="AP35" s="1231">
        <f t="shared" si="21"/>
        <v>0</v>
      </c>
      <c r="AQ35" s="1231">
        <f t="shared" si="21"/>
        <v>0</v>
      </c>
      <c r="AR35" s="1231">
        <f t="shared" si="21"/>
        <v>0</v>
      </c>
      <c r="AS35" s="1231">
        <f t="shared" si="21"/>
        <v>0</v>
      </c>
      <c r="AT35" s="1231">
        <f t="shared" si="21"/>
        <v>0</v>
      </c>
      <c r="AU35" s="1231">
        <f t="shared" si="21"/>
        <v>0</v>
      </c>
      <c r="AV35" s="1231">
        <f t="shared" si="21"/>
        <v>0</v>
      </c>
      <c r="AW35" s="1231">
        <f t="shared" si="21"/>
        <v>0</v>
      </c>
      <c r="AX35" s="1231">
        <f t="shared" si="21"/>
        <v>0</v>
      </c>
    </row>
    <row r="36" spans="1:50" ht="15" hidden="1" outlineLevel="1" x14ac:dyDescent="0.25">
      <c r="B36" s="1233" t="s">
        <v>720</v>
      </c>
      <c r="C36" s="1225"/>
      <c r="D36" s="1225"/>
      <c r="E36" s="1225"/>
      <c r="F36" s="1225"/>
      <c r="G36" s="1225"/>
      <c r="H36" s="1226">
        <v>0</v>
      </c>
      <c r="I36" s="1226">
        <v>0</v>
      </c>
      <c r="J36" s="1226">
        <v>0</v>
      </c>
      <c r="K36" s="1226">
        <v>0</v>
      </c>
      <c r="L36" s="1226">
        <v>0</v>
      </c>
      <c r="M36" s="1226">
        <v>0</v>
      </c>
      <c r="N36" s="1226">
        <v>0</v>
      </c>
      <c r="O36" s="1227">
        <f t="shared" si="17"/>
        <v>0</v>
      </c>
      <c r="P36" s="1223"/>
      <c r="Q36" s="1232">
        <v>46022</v>
      </c>
      <c r="R36" s="1228"/>
      <c r="S36" s="1232"/>
      <c r="T36" s="1223"/>
      <c r="U36" s="1229" t="str">
        <f t="shared" si="18"/>
        <v/>
      </c>
      <c r="V36" s="1229" t="str">
        <f t="shared" si="18"/>
        <v/>
      </c>
      <c r="W36" s="1229" t="str">
        <f t="shared" si="18"/>
        <v/>
      </c>
      <c r="X36" s="1229" t="str">
        <f t="shared" si="18"/>
        <v/>
      </c>
      <c r="Y36" s="1229">
        <f t="shared" si="18"/>
        <v>46022</v>
      </c>
      <c r="Z36" s="1229" t="str">
        <f t="shared" si="18"/>
        <v/>
      </c>
      <c r="AA36" s="1229" t="str">
        <f t="shared" si="18"/>
        <v/>
      </c>
      <c r="AB36" s="1229" t="str">
        <f t="shared" si="18"/>
        <v/>
      </c>
      <c r="AC36" s="1229" t="str">
        <f t="shared" si="18"/>
        <v/>
      </c>
      <c r="AD36" s="1229" t="str">
        <f t="shared" si="18"/>
        <v/>
      </c>
      <c r="AE36" s="1230">
        <f t="shared" si="19"/>
        <v>0</v>
      </c>
      <c r="AF36" s="1230">
        <f t="shared" si="19"/>
        <v>0</v>
      </c>
      <c r="AG36" s="1230">
        <f t="shared" si="19"/>
        <v>0</v>
      </c>
      <c r="AH36" s="1230">
        <f t="shared" si="19"/>
        <v>0</v>
      </c>
      <c r="AI36" s="1230">
        <f t="shared" si="19"/>
        <v>0</v>
      </c>
      <c r="AJ36" s="1230">
        <f t="shared" si="19"/>
        <v>0</v>
      </c>
      <c r="AK36" s="1230">
        <f t="shared" si="20"/>
        <v>0</v>
      </c>
      <c r="AL36" s="1230">
        <f t="shared" si="20"/>
        <v>0</v>
      </c>
      <c r="AM36" s="1230">
        <f t="shared" si="20"/>
        <v>0</v>
      </c>
      <c r="AN36" s="1230">
        <f t="shared" si="20"/>
        <v>0</v>
      </c>
      <c r="AO36" s="1231">
        <f t="shared" si="21"/>
        <v>0</v>
      </c>
      <c r="AP36" s="1231">
        <f t="shared" si="21"/>
        <v>0</v>
      </c>
      <c r="AQ36" s="1231">
        <f t="shared" si="21"/>
        <v>0</v>
      </c>
      <c r="AR36" s="1231">
        <f t="shared" si="21"/>
        <v>0</v>
      </c>
      <c r="AS36" s="1231">
        <f t="shared" si="21"/>
        <v>0</v>
      </c>
      <c r="AT36" s="1231">
        <f t="shared" si="21"/>
        <v>0</v>
      </c>
      <c r="AU36" s="1231">
        <f t="shared" si="21"/>
        <v>0</v>
      </c>
      <c r="AV36" s="1231">
        <f t="shared" si="21"/>
        <v>0</v>
      </c>
      <c r="AW36" s="1231">
        <f t="shared" si="21"/>
        <v>0</v>
      </c>
      <c r="AX36" s="1231">
        <f t="shared" si="21"/>
        <v>0</v>
      </c>
    </row>
    <row r="37" spans="1:50" ht="15" hidden="1" outlineLevel="1" x14ac:dyDescent="0.25">
      <c r="B37" s="1233" t="s">
        <v>766</v>
      </c>
      <c r="C37" s="1225"/>
      <c r="D37" s="1225"/>
      <c r="E37" s="1225"/>
      <c r="F37" s="1225"/>
      <c r="G37" s="1225"/>
      <c r="H37" s="1226">
        <v>0</v>
      </c>
      <c r="I37" s="1226">
        <v>0</v>
      </c>
      <c r="J37" s="1226">
        <v>0</v>
      </c>
      <c r="K37" s="1226">
        <v>0</v>
      </c>
      <c r="L37" s="1226">
        <v>0</v>
      </c>
      <c r="M37" s="1226">
        <v>0</v>
      </c>
      <c r="N37" s="1226">
        <v>0</v>
      </c>
      <c r="O37" s="1227">
        <f t="shared" si="17"/>
        <v>0</v>
      </c>
      <c r="P37" s="1223"/>
      <c r="Q37" s="1232">
        <v>45855</v>
      </c>
      <c r="R37" s="1228"/>
      <c r="S37" s="1232"/>
      <c r="T37" s="1223"/>
      <c r="U37" s="1229" t="str">
        <f t="shared" si="18"/>
        <v/>
      </c>
      <c r="V37" s="1229" t="str">
        <f t="shared" si="18"/>
        <v/>
      </c>
      <c r="W37" s="1229" t="str">
        <f t="shared" si="18"/>
        <v/>
      </c>
      <c r="X37" s="1229" t="str">
        <f t="shared" si="18"/>
        <v/>
      </c>
      <c r="Y37" s="1229">
        <f t="shared" si="18"/>
        <v>45855</v>
      </c>
      <c r="Z37" s="1229" t="str">
        <f t="shared" si="18"/>
        <v/>
      </c>
      <c r="AA37" s="1229" t="str">
        <f t="shared" si="18"/>
        <v/>
      </c>
      <c r="AB37" s="1229" t="str">
        <f t="shared" si="18"/>
        <v/>
      </c>
      <c r="AC37" s="1229" t="str">
        <f t="shared" si="18"/>
        <v/>
      </c>
      <c r="AD37" s="1229" t="str">
        <f t="shared" si="18"/>
        <v/>
      </c>
      <c r="AE37" s="1230">
        <f t="shared" si="19"/>
        <v>0</v>
      </c>
      <c r="AF37" s="1230">
        <f t="shared" si="19"/>
        <v>0</v>
      </c>
      <c r="AG37" s="1230">
        <f t="shared" si="19"/>
        <v>0</v>
      </c>
      <c r="AH37" s="1230">
        <f t="shared" si="19"/>
        <v>0</v>
      </c>
      <c r="AI37" s="1230">
        <f t="shared" si="19"/>
        <v>0.45753424657534247</v>
      </c>
      <c r="AJ37" s="1230">
        <f t="shared" si="19"/>
        <v>0</v>
      </c>
      <c r="AK37" s="1230">
        <f t="shared" si="20"/>
        <v>0</v>
      </c>
      <c r="AL37" s="1230">
        <f t="shared" si="20"/>
        <v>0</v>
      </c>
      <c r="AM37" s="1230">
        <f t="shared" si="20"/>
        <v>0</v>
      </c>
      <c r="AN37" s="1230">
        <f t="shared" si="20"/>
        <v>0</v>
      </c>
      <c r="AO37" s="1231">
        <f t="shared" si="21"/>
        <v>0</v>
      </c>
      <c r="AP37" s="1231">
        <f t="shared" si="21"/>
        <v>0</v>
      </c>
      <c r="AQ37" s="1231">
        <f t="shared" si="21"/>
        <v>0</v>
      </c>
      <c r="AR37" s="1231">
        <f t="shared" si="21"/>
        <v>0</v>
      </c>
      <c r="AS37" s="1231">
        <f t="shared" si="21"/>
        <v>0</v>
      </c>
      <c r="AT37" s="1231">
        <f t="shared" si="21"/>
        <v>0</v>
      </c>
      <c r="AU37" s="1231">
        <f t="shared" si="21"/>
        <v>0</v>
      </c>
      <c r="AV37" s="1231">
        <f t="shared" si="21"/>
        <v>0</v>
      </c>
      <c r="AW37" s="1231">
        <f t="shared" si="21"/>
        <v>0</v>
      </c>
      <c r="AX37" s="1231">
        <f t="shared" si="21"/>
        <v>0</v>
      </c>
    </row>
    <row r="38" spans="1:50" ht="15" hidden="1" outlineLevel="1" x14ac:dyDescent="0.25">
      <c r="B38" s="1233" t="s">
        <v>767</v>
      </c>
      <c r="C38" s="1225"/>
      <c r="D38" s="1225"/>
      <c r="E38" s="1225"/>
      <c r="F38" s="1225"/>
      <c r="G38" s="1225"/>
      <c r="H38" s="1226">
        <v>0</v>
      </c>
      <c r="I38" s="1226">
        <v>0</v>
      </c>
      <c r="J38" s="1226">
        <v>0</v>
      </c>
      <c r="K38" s="1226">
        <v>0</v>
      </c>
      <c r="L38" s="1226">
        <v>0</v>
      </c>
      <c r="M38" s="1226">
        <v>0</v>
      </c>
      <c r="N38" s="1226">
        <v>0</v>
      </c>
      <c r="O38" s="1227">
        <f t="shared" si="17"/>
        <v>0</v>
      </c>
      <c r="P38" s="1223"/>
      <c r="Q38" s="1232">
        <v>46073</v>
      </c>
      <c r="R38" s="1228"/>
      <c r="S38" s="1232"/>
      <c r="T38" s="1223"/>
      <c r="U38" s="1229" t="str">
        <f t="shared" si="18"/>
        <v/>
      </c>
      <c r="V38" s="1229" t="str">
        <f t="shared" si="18"/>
        <v/>
      </c>
      <c r="W38" s="1229" t="str">
        <f t="shared" si="18"/>
        <v/>
      </c>
      <c r="X38" s="1229" t="str">
        <f t="shared" si="18"/>
        <v/>
      </c>
      <c r="Y38" s="1229" t="str">
        <f t="shared" si="18"/>
        <v/>
      </c>
      <c r="Z38" s="1229">
        <f t="shared" si="18"/>
        <v>46073</v>
      </c>
      <c r="AA38" s="1229" t="str">
        <f t="shared" si="18"/>
        <v/>
      </c>
      <c r="AB38" s="1229" t="str">
        <f t="shared" si="18"/>
        <v/>
      </c>
      <c r="AC38" s="1229" t="str">
        <f t="shared" si="18"/>
        <v/>
      </c>
      <c r="AD38" s="1229" t="str">
        <f t="shared" si="18"/>
        <v/>
      </c>
      <c r="AE38" s="1230">
        <f t="shared" si="19"/>
        <v>0</v>
      </c>
      <c r="AF38" s="1230">
        <f t="shared" si="19"/>
        <v>0</v>
      </c>
      <c r="AG38" s="1230">
        <f t="shared" si="19"/>
        <v>0</v>
      </c>
      <c r="AH38" s="1230">
        <f t="shared" si="19"/>
        <v>0</v>
      </c>
      <c r="AI38" s="1230">
        <f t="shared" si="19"/>
        <v>0</v>
      </c>
      <c r="AJ38" s="1230">
        <f t="shared" si="19"/>
        <v>0.86027397260273974</v>
      </c>
      <c r="AK38" s="1230">
        <f t="shared" si="20"/>
        <v>0</v>
      </c>
      <c r="AL38" s="1230">
        <f t="shared" si="20"/>
        <v>0</v>
      </c>
      <c r="AM38" s="1230">
        <f t="shared" si="20"/>
        <v>0</v>
      </c>
      <c r="AN38" s="1230">
        <f t="shared" si="20"/>
        <v>0</v>
      </c>
      <c r="AO38" s="1231">
        <f t="shared" si="21"/>
        <v>0</v>
      </c>
      <c r="AP38" s="1231">
        <f t="shared" si="21"/>
        <v>0</v>
      </c>
      <c r="AQ38" s="1231">
        <f t="shared" si="21"/>
        <v>0</v>
      </c>
      <c r="AR38" s="1231">
        <f t="shared" si="21"/>
        <v>0</v>
      </c>
      <c r="AS38" s="1231">
        <f t="shared" si="21"/>
        <v>0</v>
      </c>
      <c r="AT38" s="1231">
        <f t="shared" si="21"/>
        <v>0</v>
      </c>
      <c r="AU38" s="1231">
        <f t="shared" si="21"/>
        <v>0</v>
      </c>
      <c r="AV38" s="1231">
        <f t="shared" si="21"/>
        <v>0</v>
      </c>
      <c r="AW38" s="1231">
        <f t="shared" si="21"/>
        <v>0</v>
      </c>
      <c r="AX38" s="1231">
        <f t="shared" si="21"/>
        <v>0</v>
      </c>
    </row>
    <row r="39" spans="1:50" ht="15" hidden="1" outlineLevel="1" x14ac:dyDescent="0.25">
      <c r="B39" s="1233" t="s">
        <v>768</v>
      </c>
      <c r="C39" s="1225"/>
      <c r="D39" s="1225"/>
      <c r="E39" s="1225"/>
      <c r="F39" s="1225"/>
      <c r="G39" s="1225"/>
      <c r="H39" s="1226">
        <v>0</v>
      </c>
      <c r="I39" s="1226">
        <v>0</v>
      </c>
      <c r="J39" s="1226">
        <v>0</v>
      </c>
      <c r="K39" s="1226">
        <v>0</v>
      </c>
      <c r="L39" s="1226">
        <v>0</v>
      </c>
      <c r="M39" s="1226">
        <v>0</v>
      </c>
      <c r="N39" s="1226">
        <v>0</v>
      </c>
      <c r="O39" s="1227">
        <f t="shared" si="17"/>
        <v>0</v>
      </c>
      <c r="P39" s="1223"/>
      <c r="Q39" s="1232">
        <v>46302</v>
      </c>
      <c r="R39" s="1228"/>
      <c r="S39" s="1232"/>
      <c r="T39" s="1223"/>
      <c r="U39" s="1229" t="str">
        <f t="shared" si="18"/>
        <v/>
      </c>
      <c r="V39" s="1229" t="str">
        <f t="shared" si="18"/>
        <v/>
      </c>
      <c r="W39" s="1229" t="str">
        <f t="shared" si="18"/>
        <v/>
      </c>
      <c r="X39" s="1229" t="str">
        <f t="shared" si="18"/>
        <v/>
      </c>
      <c r="Y39" s="1229" t="str">
        <f t="shared" si="18"/>
        <v/>
      </c>
      <c r="Z39" s="1229">
        <f t="shared" si="18"/>
        <v>46302</v>
      </c>
      <c r="AA39" s="1229" t="str">
        <f t="shared" si="18"/>
        <v/>
      </c>
      <c r="AB39" s="1229" t="str">
        <f t="shared" si="18"/>
        <v/>
      </c>
      <c r="AC39" s="1229" t="str">
        <f t="shared" si="18"/>
        <v/>
      </c>
      <c r="AD39" s="1229" t="str">
        <f t="shared" si="18"/>
        <v/>
      </c>
      <c r="AE39" s="1230">
        <f t="shared" si="19"/>
        <v>0</v>
      </c>
      <c r="AF39" s="1230">
        <f t="shared" si="19"/>
        <v>0</v>
      </c>
      <c r="AG39" s="1230">
        <f t="shared" si="19"/>
        <v>0</v>
      </c>
      <c r="AH39" s="1230">
        <f t="shared" si="19"/>
        <v>0</v>
      </c>
      <c r="AI39" s="1230">
        <f t="shared" si="19"/>
        <v>0</v>
      </c>
      <c r="AJ39" s="1230">
        <f t="shared" si="19"/>
        <v>0.23287671232876711</v>
      </c>
      <c r="AK39" s="1230">
        <f t="shared" si="20"/>
        <v>0</v>
      </c>
      <c r="AL39" s="1230">
        <f t="shared" si="20"/>
        <v>0</v>
      </c>
      <c r="AM39" s="1230">
        <f t="shared" si="20"/>
        <v>0</v>
      </c>
      <c r="AN39" s="1230">
        <f t="shared" si="20"/>
        <v>0</v>
      </c>
      <c r="AO39" s="1231">
        <f t="shared" si="21"/>
        <v>0</v>
      </c>
      <c r="AP39" s="1231">
        <f t="shared" si="21"/>
        <v>0</v>
      </c>
      <c r="AQ39" s="1231">
        <f t="shared" si="21"/>
        <v>0</v>
      </c>
      <c r="AR39" s="1231">
        <f t="shared" si="21"/>
        <v>0</v>
      </c>
      <c r="AS39" s="1231">
        <f t="shared" si="21"/>
        <v>0</v>
      </c>
      <c r="AT39" s="1231">
        <f t="shared" si="21"/>
        <v>0</v>
      </c>
      <c r="AU39" s="1231">
        <f t="shared" si="21"/>
        <v>0</v>
      </c>
      <c r="AV39" s="1231">
        <f t="shared" si="21"/>
        <v>0</v>
      </c>
      <c r="AW39" s="1231">
        <f t="shared" si="21"/>
        <v>0</v>
      </c>
      <c r="AX39" s="1231">
        <f t="shared" si="21"/>
        <v>0</v>
      </c>
    </row>
    <row r="40" spans="1:50" ht="15" hidden="1" outlineLevel="1" x14ac:dyDescent="0.25">
      <c r="B40" s="1233" t="s">
        <v>769</v>
      </c>
      <c r="C40" s="1225"/>
      <c r="D40" s="1225"/>
      <c r="E40" s="1225"/>
      <c r="F40" s="1225"/>
      <c r="G40" s="1225"/>
      <c r="H40" s="1226">
        <v>0</v>
      </c>
      <c r="I40" s="1226">
        <v>0</v>
      </c>
      <c r="J40" s="1226">
        <v>0</v>
      </c>
      <c r="K40" s="1226">
        <v>0</v>
      </c>
      <c r="L40" s="1226">
        <v>0</v>
      </c>
      <c r="M40" s="1226">
        <v>0</v>
      </c>
      <c r="N40" s="1226">
        <v>0</v>
      </c>
      <c r="O40" s="1227">
        <f t="shared" si="17"/>
        <v>0</v>
      </c>
      <c r="P40" s="1223"/>
      <c r="Q40" s="1232">
        <v>46302</v>
      </c>
      <c r="R40" s="1228"/>
      <c r="S40" s="1232"/>
      <c r="T40" s="1223"/>
      <c r="U40" s="1229" t="str">
        <f t="shared" si="18"/>
        <v/>
      </c>
      <c r="V40" s="1229" t="str">
        <f t="shared" si="18"/>
        <v/>
      </c>
      <c r="W40" s="1229" t="str">
        <f t="shared" si="18"/>
        <v/>
      </c>
      <c r="X40" s="1229" t="str">
        <f t="shared" si="18"/>
        <v/>
      </c>
      <c r="Y40" s="1229" t="str">
        <f t="shared" si="18"/>
        <v/>
      </c>
      <c r="Z40" s="1229">
        <f t="shared" si="18"/>
        <v>46302</v>
      </c>
      <c r="AA40" s="1229" t="str">
        <f t="shared" si="18"/>
        <v/>
      </c>
      <c r="AB40" s="1229" t="str">
        <f t="shared" si="18"/>
        <v/>
      </c>
      <c r="AC40" s="1229" t="str">
        <f t="shared" si="18"/>
        <v/>
      </c>
      <c r="AD40" s="1229" t="str">
        <f t="shared" si="18"/>
        <v/>
      </c>
      <c r="AE40" s="1230">
        <f t="shared" si="19"/>
        <v>0</v>
      </c>
      <c r="AF40" s="1230">
        <f t="shared" si="19"/>
        <v>0</v>
      </c>
      <c r="AG40" s="1230">
        <f t="shared" si="19"/>
        <v>0</v>
      </c>
      <c r="AH40" s="1230">
        <f t="shared" si="19"/>
        <v>0</v>
      </c>
      <c r="AI40" s="1230">
        <f t="shared" si="19"/>
        <v>0</v>
      </c>
      <c r="AJ40" s="1230">
        <f t="shared" si="19"/>
        <v>0.23287671232876711</v>
      </c>
      <c r="AK40" s="1230">
        <f t="shared" si="20"/>
        <v>0</v>
      </c>
      <c r="AL40" s="1230">
        <f t="shared" si="20"/>
        <v>0</v>
      </c>
      <c r="AM40" s="1230">
        <f t="shared" si="20"/>
        <v>0</v>
      </c>
      <c r="AN40" s="1230">
        <f t="shared" si="20"/>
        <v>0</v>
      </c>
      <c r="AO40" s="1231">
        <f t="shared" si="21"/>
        <v>0</v>
      </c>
      <c r="AP40" s="1231">
        <f t="shared" si="21"/>
        <v>0</v>
      </c>
      <c r="AQ40" s="1231">
        <f t="shared" si="21"/>
        <v>0</v>
      </c>
      <c r="AR40" s="1231">
        <f t="shared" si="21"/>
        <v>0</v>
      </c>
      <c r="AS40" s="1231">
        <f t="shared" si="21"/>
        <v>0</v>
      </c>
      <c r="AT40" s="1231">
        <f t="shared" si="21"/>
        <v>0</v>
      </c>
      <c r="AU40" s="1231">
        <f t="shared" si="21"/>
        <v>0</v>
      </c>
      <c r="AV40" s="1231">
        <f t="shared" si="21"/>
        <v>0</v>
      </c>
      <c r="AW40" s="1231">
        <f t="shared" si="21"/>
        <v>0</v>
      </c>
      <c r="AX40" s="1231">
        <f t="shared" si="21"/>
        <v>0</v>
      </c>
    </row>
    <row r="41" spans="1:50" ht="15" hidden="1" outlineLevel="1" x14ac:dyDescent="0.25">
      <c r="B41" s="1233" t="s">
        <v>770</v>
      </c>
      <c r="C41" s="1225"/>
      <c r="D41" s="1225"/>
      <c r="E41" s="1225"/>
      <c r="F41" s="1225"/>
      <c r="G41" s="1225"/>
      <c r="H41" s="1226">
        <v>0</v>
      </c>
      <c r="I41" s="1226">
        <v>0</v>
      </c>
      <c r="J41" s="1226">
        <v>0</v>
      </c>
      <c r="K41" s="1226">
        <v>0</v>
      </c>
      <c r="L41" s="1226">
        <v>0</v>
      </c>
      <c r="M41" s="1226">
        <v>0</v>
      </c>
      <c r="N41" s="1226">
        <v>0</v>
      </c>
      <c r="O41" s="1227">
        <f t="shared" si="17"/>
        <v>0</v>
      </c>
      <c r="P41" s="1223"/>
      <c r="Q41" s="1232">
        <v>46012</v>
      </c>
      <c r="R41" s="1228"/>
      <c r="S41" s="1232"/>
      <c r="T41" s="1223"/>
      <c r="U41" s="1229" t="str">
        <f t="shared" si="18"/>
        <v/>
      </c>
      <c r="V41" s="1229" t="str">
        <f t="shared" si="18"/>
        <v/>
      </c>
      <c r="W41" s="1229" t="str">
        <f t="shared" si="18"/>
        <v/>
      </c>
      <c r="X41" s="1229" t="str">
        <f t="shared" si="18"/>
        <v/>
      </c>
      <c r="Y41" s="1229">
        <f t="shared" si="18"/>
        <v>46012</v>
      </c>
      <c r="Z41" s="1229" t="str">
        <f t="shared" si="18"/>
        <v/>
      </c>
      <c r="AA41" s="1229" t="str">
        <f t="shared" si="18"/>
        <v/>
      </c>
      <c r="AB41" s="1229" t="str">
        <f t="shared" si="18"/>
        <v/>
      </c>
      <c r="AC41" s="1229" t="str">
        <f t="shared" si="18"/>
        <v/>
      </c>
      <c r="AD41" s="1229" t="str">
        <f t="shared" si="18"/>
        <v/>
      </c>
      <c r="AE41" s="1230">
        <f t="shared" si="19"/>
        <v>0</v>
      </c>
      <c r="AF41" s="1230">
        <f t="shared" si="19"/>
        <v>0</v>
      </c>
      <c r="AG41" s="1230">
        <f t="shared" si="19"/>
        <v>0</v>
      </c>
      <c r="AH41" s="1230">
        <f t="shared" si="19"/>
        <v>0</v>
      </c>
      <c r="AI41" s="1230">
        <f t="shared" si="19"/>
        <v>2.7397260273972601E-2</v>
      </c>
      <c r="AJ41" s="1230">
        <f t="shared" si="19"/>
        <v>0</v>
      </c>
      <c r="AK41" s="1230">
        <f t="shared" si="20"/>
        <v>0</v>
      </c>
      <c r="AL41" s="1230">
        <f t="shared" si="20"/>
        <v>0</v>
      </c>
      <c r="AM41" s="1230">
        <f t="shared" si="20"/>
        <v>0</v>
      </c>
      <c r="AN41" s="1230">
        <f t="shared" si="20"/>
        <v>0</v>
      </c>
      <c r="AO41" s="1231">
        <f t="shared" si="21"/>
        <v>0</v>
      </c>
      <c r="AP41" s="1231">
        <f t="shared" si="21"/>
        <v>0</v>
      </c>
      <c r="AQ41" s="1231">
        <f t="shared" si="21"/>
        <v>0</v>
      </c>
      <c r="AR41" s="1231">
        <f t="shared" si="21"/>
        <v>0</v>
      </c>
      <c r="AS41" s="1231">
        <f t="shared" si="21"/>
        <v>0</v>
      </c>
      <c r="AT41" s="1231">
        <f t="shared" si="21"/>
        <v>0</v>
      </c>
      <c r="AU41" s="1231">
        <f t="shared" si="21"/>
        <v>0</v>
      </c>
      <c r="AV41" s="1231">
        <f t="shared" si="21"/>
        <v>0</v>
      </c>
      <c r="AW41" s="1231">
        <f t="shared" si="21"/>
        <v>0</v>
      </c>
      <c r="AX41" s="1231">
        <f t="shared" si="21"/>
        <v>0</v>
      </c>
    </row>
    <row r="42" spans="1:50" ht="15" hidden="1" outlineLevel="1" x14ac:dyDescent="0.25">
      <c r="B42" s="1233" t="s">
        <v>771</v>
      </c>
      <c r="C42" s="1225"/>
      <c r="D42" s="1225"/>
      <c r="E42" s="1225"/>
      <c r="F42" s="1225"/>
      <c r="G42" s="1225"/>
      <c r="H42" s="1226">
        <v>0</v>
      </c>
      <c r="I42" s="1226">
        <v>0</v>
      </c>
      <c r="J42" s="1226">
        <v>0</v>
      </c>
      <c r="K42" s="1226">
        <v>0</v>
      </c>
      <c r="L42" s="1226">
        <v>0</v>
      </c>
      <c r="M42" s="1226">
        <v>0</v>
      </c>
      <c r="N42" s="1226">
        <v>0</v>
      </c>
      <c r="O42" s="1227">
        <f t="shared" si="17"/>
        <v>0</v>
      </c>
      <c r="P42" s="1223"/>
      <c r="Q42" s="1232">
        <v>45953</v>
      </c>
      <c r="R42" s="1228"/>
      <c r="S42" s="1232"/>
      <c r="T42" s="1223"/>
      <c r="U42" s="1229" t="str">
        <f t="shared" si="18"/>
        <v/>
      </c>
      <c r="V42" s="1229" t="str">
        <f t="shared" si="18"/>
        <v/>
      </c>
      <c r="W42" s="1229" t="str">
        <f t="shared" si="18"/>
        <v/>
      </c>
      <c r="X42" s="1229" t="str">
        <f t="shared" si="18"/>
        <v/>
      </c>
      <c r="Y42" s="1229">
        <f t="shared" si="18"/>
        <v>45953</v>
      </c>
      <c r="Z42" s="1229" t="str">
        <f t="shared" si="18"/>
        <v/>
      </c>
      <c r="AA42" s="1229" t="str">
        <f t="shared" si="18"/>
        <v/>
      </c>
      <c r="AB42" s="1229" t="str">
        <f t="shared" si="18"/>
        <v/>
      </c>
      <c r="AC42" s="1229" t="str">
        <f t="shared" si="18"/>
        <v/>
      </c>
      <c r="AD42" s="1229" t="str">
        <f t="shared" si="18"/>
        <v/>
      </c>
      <c r="AE42" s="1230">
        <f t="shared" si="19"/>
        <v>0</v>
      </c>
      <c r="AF42" s="1230">
        <f t="shared" si="19"/>
        <v>0</v>
      </c>
      <c r="AG42" s="1230">
        <f t="shared" si="19"/>
        <v>0</v>
      </c>
      <c r="AH42" s="1230">
        <f t="shared" si="19"/>
        <v>0</v>
      </c>
      <c r="AI42" s="1230">
        <f t="shared" si="19"/>
        <v>0.18904109589041096</v>
      </c>
      <c r="AJ42" s="1230">
        <f t="shared" si="19"/>
        <v>0</v>
      </c>
      <c r="AK42" s="1230">
        <f t="shared" si="20"/>
        <v>0</v>
      </c>
      <c r="AL42" s="1230">
        <f t="shared" si="20"/>
        <v>0</v>
      </c>
      <c r="AM42" s="1230">
        <f t="shared" si="20"/>
        <v>0</v>
      </c>
      <c r="AN42" s="1230">
        <f t="shared" si="20"/>
        <v>0</v>
      </c>
      <c r="AO42" s="1231">
        <f t="shared" si="21"/>
        <v>0</v>
      </c>
      <c r="AP42" s="1231">
        <f t="shared" si="21"/>
        <v>0</v>
      </c>
      <c r="AQ42" s="1231">
        <f t="shared" si="21"/>
        <v>0</v>
      </c>
      <c r="AR42" s="1231">
        <f t="shared" si="21"/>
        <v>0</v>
      </c>
      <c r="AS42" s="1231">
        <f t="shared" si="21"/>
        <v>0</v>
      </c>
      <c r="AT42" s="1231">
        <f t="shared" si="21"/>
        <v>0</v>
      </c>
      <c r="AU42" s="1231">
        <f t="shared" si="21"/>
        <v>0</v>
      </c>
      <c r="AV42" s="1231">
        <f t="shared" si="21"/>
        <v>0</v>
      </c>
      <c r="AW42" s="1231">
        <f t="shared" si="21"/>
        <v>0</v>
      </c>
      <c r="AX42" s="1231">
        <f t="shared" si="21"/>
        <v>0</v>
      </c>
    </row>
    <row r="43" spans="1:50" ht="15" hidden="1" outlineLevel="1" x14ac:dyDescent="0.25">
      <c r="A43" s="1218">
        <v>21</v>
      </c>
      <c r="B43" s="1233" t="s">
        <v>772</v>
      </c>
      <c r="C43" s="1225"/>
      <c r="D43" s="1225"/>
      <c r="E43" s="1225"/>
      <c r="F43" s="1225"/>
      <c r="G43" s="1225"/>
      <c r="H43" s="1226">
        <v>0</v>
      </c>
      <c r="I43" s="1226">
        <v>0</v>
      </c>
      <c r="J43" s="1226">
        <v>0</v>
      </c>
      <c r="K43" s="1226">
        <v>0</v>
      </c>
      <c r="L43" s="1226">
        <v>0</v>
      </c>
      <c r="M43" s="1226">
        <v>0</v>
      </c>
      <c r="N43" s="1226">
        <v>0</v>
      </c>
      <c r="O43" s="1227">
        <f t="shared" si="17"/>
        <v>0</v>
      </c>
      <c r="P43" s="1223"/>
      <c r="Q43" s="1232">
        <v>46295</v>
      </c>
      <c r="R43" s="1228"/>
      <c r="S43" s="1232"/>
      <c r="T43" s="1223"/>
      <c r="U43" s="1229" t="str">
        <f t="shared" si="18"/>
        <v/>
      </c>
      <c r="V43" s="1229" t="str">
        <f t="shared" si="18"/>
        <v/>
      </c>
      <c r="W43" s="1229" t="str">
        <f t="shared" si="18"/>
        <v/>
      </c>
      <c r="X43" s="1229" t="str">
        <f t="shared" si="18"/>
        <v/>
      </c>
      <c r="Y43" s="1229" t="str">
        <f t="shared" si="18"/>
        <v/>
      </c>
      <c r="Z43" s="1229">
        <f t="shared" si="18"/>
        <v>46295</v>
      </c>
      <c r="AA43" s="1229" t="str">
        <f t="shared" si="18"/>
        <v/>
      </c>
      <c r="AB43" s="1229" t="str">
        <f t="shared" si="18"/>
        <v/>
      </c>
      <c r="AC43" s="1229" t="str">
        <f t="shared" si="18"/>
        <v/>
      </c>
      <c r="AD43" s="1229" t="str">
        <f t="shared" si="18"/>
        <v/>
      </c>
      <c r="AE43" s="1230">
        <f t="shared" si="19"/>
        <v>0</v>
      </c>
      <c r="AF43" s="1230">
        <f t="shared" si="19"/>
        <v>0</v>
      </c>
      <c r="AG43" s="1230">
        <f t="shared" si="19"/>
        <v>0</v>
      </c>
      <c r="AH43" s="1230">
        <f t="shared" si="19"/>
        <v>0</v>
      </c>
      <c r="AI43" s="1230">
        <f t="shared" si="19"/>
        <v>0</v>
      </c>
      <c r="AJ43" s="1230">
        <f t="shared" si="19"/>
        <v>0.25205479452054796</v>
      </c>
      <c r="AK43" s="1230">
        <f t="shared" si="20"/>
        <v>0</v>
      </c>
      <c r="AL43" s="1230">
        <f t="shared" si="20"/>
        <v>0</v>
      </c>
      <c r="AM43" s="1230">
        <f t="shared" si="20"/>
        <v>0</v>
      </c>
      <c r="AN43" s="1230">
        <f t="shared" si="20"/>
        <v>0</v>
      </c>
      <c r="AO43" s="1231">
        <f t="shared" si="21"/>
        <v>0</v>
      </c>
      <c r="AP43" s="1231">
        <f t="shared" si="21"/>
        <v>0</v>
      </c>
      <c r="AQ43" s="1231">
        <f t="shared" si="21"/>
        <v>0</v>
      </c>
      <c r="AR43" s="1231">
        <f t="shared" si="21"/>
        <v>0</v>
      </c>
      <c r="AS43" s="1231">
        <f t="shared" si="21"/>
        <v>0</v>
      </c>
      <c r="AT43" s="1231">
        <f t="shared" si="21"/>
        <v>0</v>
      </c>
      <c r="AU43" s="1231">
        <f t="shared" si="21"/>
        <v>0</v>
      </c>
      <c r="AV43" s="1231">
        <f t="shared" si="21"/>
        <v>0</v>
      </c>
      <c r="AW43" s="1231">
        <f t="shared" si="21"/>
        <v>0</v>
      </c>
      <c r="AX43" s="1231">
        <f t="shared" si="21"/>
        <v>0</v>
      </c>
    </row>
    <row r="44" spans="1:50" ht="15" hidden="1" outlineLevel="1" x14ac:dyDescent="0.25">
      <c r="A44" s="1218">
        <v>22</v>
      </c>
      <c r="B44" s="1233" t="s">
        <v>717</v>
      </c>
      <c r="C44" s="1225"/>
      <c r="D44" s="1225"/>
      <c r="E44" s="1225"/>
      <c r="F44" s="1225"/>
      <c r="G44" s="1225"/>
      <c r="H44" s="1226">
        <v>0</v>
      </c>
      <c r="I44" s="1226">
        <v>0</v>
      </c>
      <c r="J44" s="1226">
        <v>0</v>
      </c>
      <c r="K44" s="1226">
        <v>0</v>
      </c>
      <c r="L44" s="1226">
        <v>0</v>
      </c>
      <c r="M44" s="1226">
        <v>0</v>
      </c>
      <c r="N44" s="1226">
        <v>0</v>
      </c>
      <c r="O44" s="1227">
        <f t="shared" si="17"/>
        <v>0</v>
      </c>
      <c r="P44" s="1223"/>
      <c r="Q44" s="1232">
        <v>46073</v>
      </c>
      <c r="R44" s="1228"/>
      <c r="S44" s="1232"/>
      <c r="T44" s="1223"/>
      <c r="U44" s="1229" t="str">
        <f t="shared" si="18"/>
        <v/>
      </c>
      <c r="V44" s="1229" t="str">
        <f t="shared" si="18"/>
        <v/>
      </c>
      <c r="W44" s="1229" t="str">
        <f t="shared" si="18"/>
        <v/>
      </c>
      <c r="X44" s="1229" t="str">
        <f t="shared" si="18"/>
        <v/>
      </c>
      <c r="Y44" s="1229" t="str">
        <f t="shared" si="18"/>
        <v/>
      </c>
      <c r="Z44" s="1229">
        <f t="shared" si="18"/>
        <v>46073</v>
      </c>
      <c r="AA44" s="1229" t="str">
        <f t="shared" si="18"/>
        <v/>
      </c>
      <c r="AB44" s="1229" t="str">
        <f t="shared" si="18"/>
        <v/>
      </c>
      <c r="AC44" s="1229" t="str">
        <f t="shared" si="18"/>
        <v/>
      </c>
      <c r="AD44" s="1229" t="str">
        <f t="shared" si="18"/>
        <v/>
      </c>
      <c r="AE44" s="1230">
        <f t="shared" si="19"/>
        <v>0</v>
      </c>
      <c r="AF44" s="1230">
        <f t="shared" si="19"/>
        <v>0</v>
      </c>
      <c r="AG44" s="1230">
        <f t="shared" si="19"/>
        <v>0</v>
      </c>
      <c r="AH44" s="1230">
        <f t="shared" si="19"/>
        <v>0</v>
      </c>
      <c r="AI44" s="1230">
        <f t="shared" si="19"/>
        <v>0</v>
      </c>
      <c r="AJ44" s="1230">
        <f t="shared" si="19"/>
        <v>0.86027397260273974</v>
      </c>
      <c r="AK44" s="1230">
        <f t="shared" si="20"/>
        <v>0</v>
      </c>
      <c r="AL44" s="1230">
        <f t="shared" si="20"/>
        <v>0</v>
      </c>
      <c r="AM44" s="1230">
        <f t="shared" si="20"/>
        <v>0</v>
      </c>
      <c r="AN44" s="1230">
        <f t="shared" si="20"/>
        <v>0</v>
      </c>
      <c r="AO44" s="1231">
        <f t="shared" si="21"/>
        <v>0</v>
      </c>
      <c r="AP44" s="1231">
        <f t="shared" si="21"/>
        <v>0</v>
      </c>
      <c r="AQ44" s="1231">
        <f t="shared" si="21"/>
        <v>0</v>
      </c>
      <c r="AR44" s="1231">
        <f t="shared" si="21"/>
        <v>0</v>
      </c>
      <c r="AS44" s="1231">
        <f t="shared" si="21"/>
        <v>0</v>
      </c>
      <c r="AT44" s="1231">
        <f t="shared" si="21"/>
        <v>0</v>
      </c>
      <c r="AU44" s="1231">
        <f t="shared" si="21"/>
        <v>0</v>
      </c>
      <c r="AV44" s="1231">
        <f t="shared" si="21"/>
        <v>0</v>
      </c>
      <c r="AW44" s="1231">
        <f t="shared" si="21"/>
        <v>0</v>
      </c>
      <c r="AX44" s="1231">
        <f t="shared" si="21"/>
        <v>0</v>
      </c>
    </row>
    <row r="45" spans="1:50" ht="15" hidden="1" outlineLevel="1" x14ac:dyDescent="0.25">
      <c r="A45" s="1218">
        <v>23</v>
      </c>
      <c r="B45" s="1233" t="s">
        <v>773</v>
      </c>
      <c r="C45" s="1225"/>
      <c r="D45" s="1225"/>
      <c r="E45" s="1225"/>
      <c r="F45" s="1225"/>
      <c r="G45" s="1225"/>
      <c r="H45" s="1226">
        <v>0</v>
      </c>
      <c r="I45" s="1226">
        <v>0</v>
      </c>
      <c r="J45" s="1226">
        <v>0</v>
      </c>
      <c r="K45" s="1226">
        <v>0</v>
      </c>
      <c r="L45" s="1226">
        <v>0</v>
      </c>
      <c r="M45" s="1226">
        <v>0</v>
      </c>
      <c r="N45" s="1226">
        <v>0</v>
      </c>
      <c r="O45" s="1227">
        <f t="shared" si="17"/>
        <v>0</v>
      </c>
      <c r="P45" s="1223"/>
      <c r="Q45" s="1232">
        <v>45960</v>
      </c>
      <c r="R45" s="1228"/>
      <c r="S45" s="1232"/>
      <c r="T45" s="1223"/>
      <c r="U45" s="1229" t="str">
        <f t="shared" si="18"/>
        <v/>
      </c>
      <c r="V45" s="1229" t="str">
        <f t="shared" si="18"/>
        <v/>
      </c>
      <c r="W45" s="1229" t="str">
        <f t="shared" si="18"/>
        <v/>
      </c>
      <c r="X45" s="1229" t="str">
        <f t="shared" si="18"/>
        <v/>
      </c>
      <c r="Y45" s="1229">
        <f t="shared" si="18"/>
        <v>45960</v>
      </c>
      <c r="Z45" s="1229" t="str">
        <f t="shared" si="18"/>
        <v/>
      </c>
      <c r="AA45" s="1229" t="str">
        <f t="shared" si="18"/>
        <v/>
      </c>
      <c r="AB45" s="1229" t="str">
        <f t="shared" si="18"/>
        <v/>
      </c>
      <c r="AC45" s="1229" t="str">
        <f t="shared" si="18"/>
        <v/>
      </c>
      <c r="AD45" s="1229" t="str">
        <f t="shared" si="18"/>
        <v/>
      </c>
      <c r="AE45" s="1230">
        <f t="shared" si="19"/>
        <v>0</v>
      </c>
      <c r="AF45" s="1230">
        <f t="shared" si="19"/>
        <v>0</v>
      </c>
      <c r="AG45" s="1230">
        <f t="shared" si="19"/>
        <v>0</v>
      </c>
      <c r="AH45" s="1230">
        <f t="shared" si="19"/>
        <v>0</v>
      </c>
      <c r="AI45" s="1230">
        <f t="shared" si="19"/>
        <v>0.16986301369863013</v>
      </c>
      <c r="AJ45" s="1230">
        <f t="shared" si="19"/>
        <v>0</v>
      </c>
      <c r="AK45" s="1230">
        <f t="shared" si="20"/>
        <v>0</v>
      </c>
      <c r="AL45" s="1230">
        <f t="shared" si="20"/>
        <v>0</v>
      </c>
      <c r="AM45" s="1230">
        <f t="shared" si="20"/>
        <v>0</v>
      </c>
      <c r="AN45" s="1230">
        <f t="shared" si="20"/>
        <v>0</v>
      </c>
      <c r="AO45" s="1231">
        <f t="shared" si="21"/>
        <v>0</v>
      </c>
      <c r="AP45" s="1231">
        <f t="shared" si="21"/>
        <v>0</v>
      </c>
      <c r="AQ45" s="1231">
        <f t="shared" si="21"/>
        <v>0</v>
      </c>
      <c r="AR45" s="1231">
        <f t="shared" si="21"/>
        <v>0</v>
      </c>
      <c r="AS45" s="1231">
        <f t="shared" si="21"/>
        <v>0</v>
      </c>
      <c r="AT45" s="1231">
        <f t="shared" si="21"/>
        <v>0</v>
      </c>
      <c r="AU45" s="1231">
        <f t="shared" si="21"/>
        <v>0</v>
      </c>
      <c r="AV45" s="1231">
        <f t="shared" si="21"/>
        <v>0</v>
      </c>
      <c r="AW45" s="1231">
        <f t="shared" si="21"/>
        <v>0</v>
      </c>
      <c r="AX45" s="1231">
        <f t="shared" si="21"/>
        <v>0</v>
      </c>
    </row>
    <row r="46" spans="1:50" ht="15" hidden="1" collapsed="1" x14ac:dyDescent="0.25">
      <c r="A46" s="1218">
        <v>24</v>
      </c>
      <c r="B46" s="1233" t="s">
        <v>774</v>
      </c>
      <c r="C46" s="1225"/>
      <c r="D46" s="1225"/>
      <c r="E46" s="1225"/>
      <c r="F46" s="1225"/>
      <c r="G46" s="1225"/>
      <c r="H46" s="1226">
        <v>0</v>
      </c>
      <c r="I46" s="1226">
        <v>0</v>
      </c>
      <c r="J46" s="1226">
        <v>0</v>
      </c>
      <c r="K46" s="1226">
        <v>0</v>
      </c>
      <c r="L46" s="1226">
        <v>0</v>
      </c>
      <c r="M46" s="1226">
        <v>0</v>
      </c>
      <c r="N46" s="1226">
        <v>0</v>
      </c>
      <c r="O46" s="1227">
        <f t="shared" si="17"/>
        <v>0</v>
      </c>
      <c r="P46" s="1223"/>
      <c r="Q46" s="1232">
        <v>46295</v>
      </c>
      <c r="R46" s="1228"/>
      <c r="S46" s="1232"/>
      <c r="T46" s="1223"/>
      <c r="U46" s="1229" t="str">
        <f t="shared" si="18"/>
        <v/>
      </c>
      <c r="V46" s="1229" t="str">
        <f t="shared" si="18"/>
        <v/>
      </c>
      <c r="W46" s="1229" t="str">
        <f t="shared" si="18"/>
        <v/>
      </c>
      <c r="X46" s="1229" t="str">
        <f t="shared" si="18"/>
        <v/>
      </c>
      <c r="Y46" s="1229" t="str">
        <f t="shared" si="18"/>
        <v/>
      </c>
      <c r="Z46" s="1229">
        <f t="shared" si="18"/>
        <v>46295</v>
      </c>
      <c r="AA46" s="1229" t="str">
        <f t="shared" si="18"/>
        <v/>
      </c>
      <c r="AB46" s="1229" t="str">
        <f t="shared" si="18"/>
        <v/>
      </c>
      <c r="AC46" s="1229" t="str">
        <f t="shared" si="18"/>
        <v/>
      </c>
      <c r="AD46" s="1229" t="str">
        <f t="shared" si="18"/>
        <v/>
      </c>
      <c r="AE46" s="1230">
        <f t="shared" si="19"/>
        <v>0</v>
      </c>
      <c r="AF46" s="1230">
        <f t="shared" si="19"/>
        <v>0</v>
      </c>
      <c r="AG46" s="1230">
        <f t="shared" si="19"/>
        <v>0</v>
      </c>
      <c r="AH46" s="1230">
        <f t="shared" si="19"/>
        <v>0</v>
      </c>
      <c r="AI46" s="1230">
        <f t="shared" si="19"/>
        <v>0</v>
      </c>
      <c r="AJ46" s="1230">
        <f t="shared" si="19"/>
        <v>0.25205479452054796</v>
      </c>
      <c r="AK46" s="1230">
        <f t="shared" si="20"/>
        <v>0</v>
      </c>
      <c r="AL46" s="1230">
        <f t="shared" si="20"/>
        <v>0</v>
      </c>
      <c r="AM46" s="1230">
        <f t="shared" si="20"/>
        <v>0</v>
      </c>
      <c r="AN46" s="1230">
        <f t="shared" si="20"/>
        <v>0</v>
      </c>
      <c r="AO46" s="1231">
        <f t="shared" si="21"/>
        <v>0</v>
      </c>
      <c r="AP46" s="1231">
        <f t="shared" si="21"/>
        <v>0</v>
      </c>
      <c r="AQ46" s="1231">
        <f t="shared" si="21"/>
        <v>0</v>
      </c>
      <c r="AR46" s="1231">
        <f t="shared" si="21"/>
        <v>0</v>
      </c>
      <c r="AS46" s="1231">
        <f t="shared" si="21"/>
        <v>0</v>
      </c>
      <c r="AT46" s="1231">
        <f t="shared" si="21"/>
        <v>0</v>
      </c>
      <c r="AU46" s="1231">
        <f t="shared" si="21"/>
        <v>0</v>
      </c>
      <c r="AV46" s="1231">
        <f t="shared" si="21"/>
        <v>0</v>
      </c>
      <c r="AW46" s="1231">
        <f t="shared" si="21"/>
        <v>0</v>
      </c>
      <c r="AX46" s="1231">
        <f t="shared" si="21"/>
        <v>0</v>
      </c>
    </row>
    <row r="47" spans="1:50" ht="15" hidden="1" x14ac:dyDescent="0.25">
      <c r="B47" s="1233" t="s">
        <v>775</v>
      </c>
      <c r="C47" s="1225"/>
      <c r="D47" s="1225"/>
      <c r="E47" s="1225"/>
      <c r="F47" s="1225"/>
      <c r="G47" s="1225"/>
      <c r="H47" s="1225"/>
      <c r="I47" s="1225"/>
      <c r="J47" s="1225"/>
      <c r="K47" s="1225"/>
      <c r="L47" s="1225"/>
      <c r="M47" s="1225"/>
      <c r="N47" s="1225"/>
      <c r="O47" s="1227"/>
      <c r="P47" s="1223">
        <f>SUM(O31:O46)</f>
        <v>0</v>
      </c>
      <c r="Q47" s="1232">
        <v>46203</v>
      </c>
      <c r="R47" s="1228"/>
      <c r="S47" s="1232"/>
      <c r="T47" s="1223"/>
      <c r="U47" s="1229"/>
      <c r="V47" s="1229"/>
      <c r="W47" s="1229"/>
      <c r="X47" s="1229"/>
      <c r="Y47" s="1229"/>
      <c r="Z47" s="1229"/>
      <c r="AA47" s="1229"/>
      <c r="AB47" s="1229"/>
      <c r="AC47" s="1229"/>
      <c r="AD47" s="1229"/>
      <c r="AE47" s="1230"/>
      <c r="AF47" s="1230"/>
      <c r="AG47" s="1230"/>
      <c r="AH47" s="1230"/>
      <c r="AI47" s="1230"/>
      <c r="AJ47" s="1230"/>
      <c r="AK47" s="1230"/>
      <c r="AL47" s="1230"/>
      <c r="AM47" s="1230"/>
      <c r="AN47" s="1230"/>
      <c r="AO47" s="1231"/>
      <c r="AP47" s="1231"/>
      <c r="AQ47" s="1231"/>
      <c r="AR47" s="1231"/>
      <c r="AS47" s="1231"/>
      <c r="AT47" s="1231"/>
      <c r="AU47" s="1231"/>
      <c r="AV47" s="1231"/>
      <c r="AW47" s="1231"/>
      <c r="AX47" s="1231"/>
    </row>
    <row r="48" spans="1:50" ht="15" hidden="1" x14ac:dyDescent="0.25">
      <c r="B48" s="1233"/>
      <c r="C48" s="1225"/>
      <c r="D48" s="1225"/>
      <c r="E48" s="1225"/>
      <c r="F48" s="1225"/>
      <c r="G48" s="1225"/>
      <c r="H48" s="1225"/>
      <c r="I48" s="1225"/>
      <c r="J48" s="1225"/>
      <c r="K48" s="1225"/>
      <c r="L48" s="1225"/>
      <c r="M48" s="1225"/>
      <c r="N48" s="1225"/>
      <c r="O48" s="1227"/>
      <c r="P48" s="1223"/>
      <c r="Q48" s="1232"/>
      <c r="R48" s="1228"/>
      <c r="S48" s="1232"/>
      <c r="T48" s="1223"/>
      <c r="U48" s="1229"/>
      <c r="V48" s="1229"/>
      <c r="W48" s="1229"/>
      <c r="X48" s="1229"/>
      <c r="Y48" s="1229"/>
      <c r="Z48" s="1229"/>
      <c r="AA48" s="1229"/>
      <c r="AB48" s="1229"/>
      <c r="AC48" s="1229"/>
      <c r="AD48" s="1229"/>
      <c r="AE48" s="1230"/>
      <c r="AF48" s="1230"/>
      <c r="AG48" s="1230"/>
      <c r="AH48" s="1230"/>
      <c r="AI48" s="1230"/>
      <c r="AJ48" s="1230"/>
      <c r="AK48" s="1230"/>
      <c r="AL48" s="1230"/>
      <c r="AM48" s="1230"/>
      <c r="AN48" s="1230"/>
      <c r="AO48" s="1231"/>
      <c r="AP48" s="1231"/>
      <c r="AQ48" s="1231"/>
      <c r="AR48" s="1231"/>
      <c r="AS48" s="1231"/>
      <c r="AT48" s="1231"/>
      <c r="AU48" s="1231"/>
      <c r="AV48" s="1231"/>
      <c r="AW48" s="1231"/>
      <c r="AX48" s="1231"/>
    </row>
    <row r="49" spans="1:50" s="1207" customFormat="1" ht="15" hidden="1" collapsed="1" x14ac:dyDescent="0.25">
      <c r="A49" s="1213"/>
      <c r="B49" s="1204" t="s">
        <v>450</v>
      </c>
      <c r="C49" s="1215"/>
      <c r="D49" s="1215"/>
      <c r="E49" s="1215"/>
      <c r="F49" s="1215"/>
      <c r="G49" s="1215"/>
      <c r="H49" s="1215">
        <f t="shared" ref="H49:N49" si="22">SUBTOTAL(9,H50:H63)</f>
        <v>0</v>
      </c>
      <c r="I49" s="1215">
        <f t="shared" si="22"/>
        <v>0</v>
      </c>
      <c r="J49" s="1215">
        <f t="shared" si="22"/>
        <v>0</v>
      </c>
      <c r="K49" s="1215">
        <f>SUBTOTAL(9,K50:K63)</f>
        <v>0</v>
      </c>
      <c r="L49" s="1215">
        <f t="shared" si="22"/>
        <v>0</v>
      </c>
      <c r="M49" s="1215">
        <f t="shared" si="22"/>
        <v>0</v>
      </c>
      <c r="N49" s="1215">
        <f t="shared" si="22"/>
        <v>0</v>
      </c>
      <c r="O49" s="1216">
        <f t="shared" ref="O49" si="23">SUM(D49:N49)</f>
        <v>0</v>
      </c>
      <c r="P49" s="1217"/>
      <c r="Q49" s="1244"/>
      <c r="S49" s="1244"/>
      <c r="T49" s="1217"/>
      <c r="AE49" s="1230">
        <f t="shared" ref="AE49:AN74" si="24">IF(U49="",,(DATE(AE$6,12,31)-U49)/365)</f>
        <v>0</v>
      </c>
      <c r="AF49" s="1230">
        <f t="shared" si="24"/>
        <v>0</v>
      </c>
      <c r="AG49" s="1230">
        <f t="shared" si="24"/>
        <v>0</v>
      </c>
      <c r="AH49" s="1230">
        <f t="shared" si="24"/>
        <v>0</v>
      </c>
      <c r="AI49" s="1230">
        <f t="shared" si="24"/>
        <v>0</v>
      </c>
      <c r="AJ49" s="1230">
        <f t="shared" si="24"/>
        <v>0</v>
      </c>
      <c r="AK49" s="1230">
        <f t="shared" si="24"/>
        <v>0</v>
      </c>
      <c r="AL49" s="1230">
        <f t="shared" si="24"/>
        <v>0</v>
      </c>
      <c r="AM49" s="1230">
        <f t="shared" si="24"/>
        <v>0</v>
      </c>
      <c r="AN49" s="1230">
        <f t="shared" si="24"/>
        <v>0</v>
      </c>
    </row>
    <row r="50" spans="1:50" ht="15" hidden="1" outlineLevel="1" x14ac:dyDescent="0.25">
      <c r="A50" s="1218">
        <v>25</v>
      </c>
      <c r="B50" s="1233" t="s">
        <v>776</v>
      </c>
      <c r="C50" s="1225"/>
      <c r="D50" s="1225"/>
      <c r="E50" s="1225"/>
      <c r="F50" s="1225"/>
      <c r="G50" s="1225"/>
      <c r="H50" s="1226">
        <v>0</v>
      </c>
      <c r="I50" s="1226">
        <v>0</v>
      </c>
      <c r="J50" s="1226">
        <v>0</v>
      </c>
      <c r="K50" s="1226">
        <v>0</v>
      </c>
      <c r="L50" s="1226">
        <v>0</v>
      </c>
      <c r="M50" s="1226">
        <v>0</v>
      </c>
      <c r="N50" s="1226">
        <v>0</v>
      </c>
      <c r="O50" s="1227">
        <f t="shared" ref="O50:O62" si="25">SUM(C50:N50)</f>
        <v>0</v>
      </c>
      <c r="P50" s="1223"/>
      <c r="Q50" s="1232">
        <v>46568</v>
      </c>
      <c r="R50" s="1218"/>
      <c r="S50" s="1232"/>
      <c r="T50" s="1223"/>
      <c r="U50" s="1229" t="str">
        <f t="shared" ref="U50:AD57" si="26">IF(U$6=YEAR($Q50),$Q50,"")</f>
        <v/>
      </c>
      <c r="V50" s="1229" t="str">
        <f t="shared" si="26"/>
        <v/>
      </c>
      <c r="W50" s="1229" t="str">
        <f t="shared" si="26"/>
        <v/>
      </c>
      <c r="X50" s="1229" t="str">
        <f t="shared" si="26"/>
        <v/>
      </c>
      <c r="Y50" s="1229" t="str">
        <f t="shared" si="26"/>
        <v/>
      </c>
      <c r="Z50" s="1229" t="str">
        <f t="shared" si="26"/>
        <v/>
      </c>
      <c r="AA50" s="1229">
        <f t="shared" si="26"/>
        <v>46568</v>
      </c>
      <c r="AB50" s="1229" t="str">
        <f t="shared" si="26"/>
        <v/>
      </c>
      <c r="AC50" s="1229" t="str">
        <f t="shared" si="26"/>
        <v/>
      </c>
      <c r="AD50" s="1229" t="str">
        <f t="shared" si="26"/>
        <v/>
      </c>
      <c r="AE50" s="1230">
        <f t="shared" si="24"/>
        <v>0</v>
      </c>
      <c r="AF50" s="1230">
        <f t="shared" si="24"/>
        <v>0</v>
      </c>
      <c r="AG50" s="1230">
        <f t="shared" si="24"/>
        <v>0</v>
      </c>
      <c r="AH50" s="1230">
        <f t="shared" si="24"/>
        <v>0</v>
      </c>
      <c r="AI50" s="1230">
        <f t="shared" si="24"/>
        <v>0</v>
      </c>
      <c r="AJ50" s="1230">
        <f t="shared" si="24"/>
        <v>0</v>
      </c>
      <c r="AK50" s="1230">
        <f t="shared" si="24"/>
        <v>0.50410958904109593</v>
      </c>
      <c r="AL50" s="1230">
        <f t="shared" si="24"/>
        <v>0</v>
      </c>
      <c r="AM50" s="1230">
        <f t="shared" si="24"/>
        <v>0</v>
      </c>
      <c r="AN50" s="1230">
        <f t="shared" si="24"/>
        <v>0</v>
      </c>
      <c r="AO50" s="1231">
        <f t="shared" ref="AO50:AX56" si="27">AE50*E50</f>
        <v>0</v>
      </c>
      <c r="AP50" s="1231">
        <f t="shared" si="27"/>
        <v>0</v>
      </c>
      <c r="AQ50" s="1231">
        <f t="shared" si="27"/>
        <v>0</v>
      </c>
      <c r="AR50" s="1231">
        <f t="shared" si="27"/>
        <v>0</v>
      </c>
      <c r="AS50" s="1231">
        <f t="shared" si="27"/>
        <v>0</v>
      </c>
      <c r="AT50" s="1231">
        <f t="shared" si="27"/>
        <v>0</v>
      </c>
      <c r="AU50" s="1231">
        <f t="shared" si="27"/>
        <v>0</v>
      </c>
      <c r="AV50" s="1231">
        <f t="shared" si="27"/>
        <v>0</v>
      </c>
      <c r="AW50" s="1231">
        <f t="shared" si="27"/>
        <v>0</v>
      </c>
      <c r="AX50" s="1231">
        <f t="shared" si="27"/>
        <v>0</v>
      </c>
    </row>
    <row r="51" spans="1:50" ht="15" hidden="1" outlineLevel="1" x14ac:dyDescent="0.25">
      <c r="A51" s="1218">
        <v>26</v>
      </c>
      <c r="B51" s="1233" t="s">
        <v>777</v>
      </c>
      <c r="C51" s="1225"/>
      <c r="D51" s="1225"/>
      <c r="E51" s="1225"/>
      <c r="F51" s="1225"/>
      <c r="G51" s="1225"/>
      <c r="H51" s="1226">
        <v>0</v>
      </c>
      <c r="I51" s="1226">
        <v>0</v>
      </c>
      <c r="J51" s="1226">
        <v>0</v>
      </c>
      <c r="K51" s="1226">
        <v>0</v>
      </c>
      <c r="L51" s="1226">
        <v>0</v>
      </c>
      <c r="M51" s="1226">
        <v>0</v>
      </c>
      <c r="N51" s="1226">
        <v>0</v>
      </c>
      <c r="O51" s="1227">
        <f t="shared" si="25"/>
        <v>0</v>
      </c>
      <c r="P51" s="1223"/>
      <c r="Q51" s="1232">
        <v>46568</v>
      </c>
      <c r="R51" s="1218"/>
      <c r="S51" s="1232"/>
      <c r="T51" s="1223"/>
      <c r="U51" s="1229" t="str">
        <f t="shared" si="26"/>
        <v/>
      </c>
      <c r="V51" s="1229" t="str">
        <f t="shared" si="26"/>
        <v/>
      </c>
      <c r="W51" s="1229" t="str">
        <f t="shared" si="26"/>
        <v/>
      </c>
      <c r="X51" s="1229" t="str">
        <f t="shared" si="26"/>
        <v/>
      </c>
      <c r="Y51" s="1229" t="str">
        <f t="shared" si="26"/>
        <v/>
      </c>
      <c r="Z51" s="1229" t="str">
        <f t="shared" si="26"/>
        <v/>
      </c>
      <c r="AA51" s="1229">
        <f t="shared" si="26"/>
        <v>46568</v>
      </c>
      <c r="AB51" s="1229" t="str">
        <f t="shared" si="26"/>
        <v/>
      </c>
      <c r="AC51" s="1229" t="str">
        <f t="shared" si="26"/>
        <v/>
      </c>
      <c r="AD51" s="1229" t="str">
        <f t="shared" si="26"/>
        <v/>
      </c>
      <c r="AE51" s="1230">
        <f t="shared" si="24"/>
        <v>0</v>
      </c>
      <c r="AF51" s="1230">
        <f t="shared" si="24"/>
        <v>0</v>
      </c>
      <c r="AG51" s="1230">
        <f t="shared" si="24"/>
        <v>0</v>
      </c>
      <c r="AH51" s="1230">
        <f t="shared" si="24"/>
        <v>0</v>
      </c>
      <c r="AI51" s="1230">
        <f t="shared" si="24"/>
        <v>0</v>
      </c>
      <c r="AJ51" s="1230">
        <f t="shared" si="24"/>
        <v>0</v>
      </c>
      <c r="AK51" s="1230">
        <f t="shared" si="24"/>
        <v>0.50410958904109593</v>
      </c>
      <c r="AL51" s="1230">
        <f t="shared" si="24"/>
        <v>0</v>
      </c>
      <c r="AM51" s="1230">
        <f t="shared" si="24"/>
        <v>0</v>
      </c>
      <c r="AN51" s="1230">
        <f t="shared" si="24"/>
        <v>0</v>
      </c>
      <c r="AO51" s="1231">
        <f t="shared" si="27"/>
        <v>0</v>
      </c>
      <c r="AP51" s="1231">
        <f t="shared" si="27"/>
        <v>0</v>
      </c>
      <c r="AQ51" s="1231">
        <f t="shared" si="27"/>
        <v>0</v>
      </c>
      <c r="AR51" s="1231">
        <f t="shared" si="27"/>
        <v>0</v>
      </c>
      <c r="AS51" s="1231">
        <f t="shared" si="27"/>
        <v>0</v>
      </c>
      <c r="AT51" s="1231">
        <f t="shared" si="27"/>
        <v>0</v>
      </c>
      <c r="AU51" s="1231">
        <f t="shared" si="27"/>
        <v>0</v>
      </c>
      <c r="AV51" s="1231">
        <f t="shared" si="27"/>
        <v>0</v>
      </c>
      <c r="AW51" s="1231">
        <f t="shared" si="27"/>
        <v>0</v>
      </c>
      <c r="AX51" s="1231">
        <f t="shared" si="27"/>
        <v>0</v>
      </c>
    </row>
    <row r="52" spans="1:50" ht="15" hidden="1" outlineLevel="1" x14ac:dyDescent="0.25">
      <c r="A52" s="1218">
        <v>27</v>
      </c>
      <c r="B52" s="1233" t="s">
        <v>778</v>
      </c>
      <c r="C52" s="1225"/>
      <c r="D52" s="1225"/>
      <c r="E52" s="1225"/>
      <c r="F52" s="1225"/>
      <c r="G52" s="1225"/>
      <c r="H52" s="1226">
        <v>0</v>
      </c>
      <c r="I52" s="1226">
        <v>0</v>
      </c>
      <c r="J52" s="1226">
        <v>0</v>
      </c>
      <c r="K52" s="1226">
        <v>0</v>
      </c>
      <c r="L52" s="1226">
        <v>0</v>
      </c>
      <c r="M52" s="1226">
        <v>0</v>
      </c>
      <c r="N52" s="1226">
        <v>0</v>
      </c>
      <c r="O52" s="1227">
        <f t="shared" si="25"/>
        <v>0</v>
      </c>
      <c r="P52" s="1223"/>
      <c r="Q52" s="1232">
        <v>46568</v>
      </c>
      <c r="R52" s="1218"/>
      <c r="S52" s="1232"/>
      <c r="T52" s="1223"/>
      <c r="U52" s="1229" t="str">
        <f t="shared" si="26"/>
        <v/>
      </c>
      <c r="V52" s="1229" t="str">
        <f t="shared" si="26"/>
        <v/>
      </c>
      <c r="W52" s="1229" t="str">
        <f t="shared" si="26"/>
        <v/>
      </c>
      <c r="X52" s="1229" t="str">
        <f t="shared" si="26"/>
        <v/>
      </c>
      <c r="Y52" s="1229" t="str">
        <f t="shared" si="26"/>
        <v/>
      </c>
      <c r="Z52" s="1229" t="str">
        <f t="shared" si="26"/>
        <v/>
      </c>
      <c r="AA52" s="1229">
        <f t="shared" si="26"/>
        <v>46568</v>
      </c>
      <c r="AB52" s="1229" t="str">
        <f t="shared" si="26"/>
        <v/>
      </c>
      <c r="AC52" s="1229" t="str">
        <f t="shared" si="26"/>
        <v/>
      </c>
      <c r="AD52" s="1229" t="str">
        <f t="shared" si="26"/>
        <v/>
      </c>
      <c r="AE52" s="1230">
        <f t="shared" si="24"/>
        <v>0</v>
      </c>
      <c r="AF52" s="1230">
        <f t="shared" si="24"/>
        <v>0</v>
      </c>
      <c r="AG52" s="1230">
        <f t="shared" si="24"/>
        <v>0</v>
      </c>
      <c r="AH52" s="1230">
        <f t="shared" si="24"/>
        <v>0</v>
      </c>
      <c r="AI52" s="1230">
        <f t="shared" si="24"/>
        <v>0</v>
      </c>
      <c r="AJ52" s="1230">
        <f t="shared" si="24"/>
        <v>0</v>
      </c>
      <c r="AK52" s="1230">
        <f t="shared" si="24"/>
        <v>0.50410958904109593</v>
      </c>
      <c r="AL52" s="1230">
        <f t="shared" si="24"/>
        <v>0</v>
      </c>
      <c r="AM52" s="1230">
        <f t="shared" si="24"/>
        <v>0</v>
      </c>
      <c r="AN52" s="1230">
        <f t="shared" si="24"/>
        <v>0</v>
      </c>
      <c r="AO52" s="1231">
        <f t="shared" si="27"/>
        <v>0</v>
      </c>
      <c r="AP52" s="1231">
        <f t="shared" si="27"/>
        <v>0</v>
      </c>
      <c r="AQ52" s="1231">
        <f t="shared" si="27"/>
        <v>0</v>
      </c>
      <c r="AR52" s="1231">
        <f t="shared" si="27"/>
        <v>0</v>
      </c>
      <c r="AS52" s="1231">
        <f t="shared" si="27"/>
        <v>0</v>
      </c>
      <c r="AT52" s="1231">
        <f t="shared" si="27"/>
        <v>0</v>
      </c>
      <c r="AU52" s="1231">
        <f t="shared" si="27"/>
        <v>0</v>
      </c>
      <c r="AV52" s="1231">
        <f t="shared" si="27"/>
        <v>0</v>
      </c>
      <c r="AW52" s="1231">
        <f t="shared" si="27"/>
        <v>0</v>
      </c>
      <c r="AX52" s="1231">
        <f t="shared" si="27"/>
        <v>0</v>
      </c>
    </row>
    <row r="53" spans="1:50" ht="15" hidden="1" outlineLevel="1" x14ac:dyDescent="0.25">
      <c r="B53" s="1233" t="s">
        <v>779</v>
      </c>
      <c r="C53" s="1225"/>
      <c r="D53" s="1225"/>
      <c r="E53" s="1225"/>
      <c r="F53" s="1225"/>
      <c r="G53" s="1225"/>
      <c r="H53" s="1226">
        <v>0</v>
      </c>
      <c r="I53" s="1226">
        <v>0</v>
      </c>
      <c r="J53" s="1226">
        <v>0</v>
      </c>
      <c r="K53" s="1226">
        <v>0</v>
      </c>
      <c r="L53" s="1226">
        <v>0</v>
      </c>
      <c r="M53" s="1226">
        <v>0</v>
      </c>
      <c r="N53" s="1226">
        <v>0</v>
      </c>
      <c r="O53" s="1227">
        <f t="shared" si="25"/>
        <v>0</v>
      </c>
      <c r="P53" s="1223"/>
      <c r="Q53" s="1232">
        <v>46783</v>
      </c>
      <c r="R53" s="1218"/>
      <c r="S53" s="1232"/>
      <c r="T53" s="1223"/>
      <c r="U53" s="1229" t="str">
        <f t="shared" si="26"/>
        <v/>
      </c>
      <c r="V53" s="1229" t="str">
        <f t="shared" si="26"/>
        <v/>
      </c>
      <c r="W53" s="1229" t="str">
        <f t="shared" si="26"/>
        <v/>
      </c>
      <c r="X53" s="1229" t="str">
        <f t="shared" si="26"/>
        <v/>
      </c>
      <c r="Y53" s="1229" t="str">
        <f t="shared" si="26"/>
        <v/>
      </c>
      <c r="Z53" s="1229" t="str">
        <f t="shared" si="26"/>
        <v/>
      </c>
      <c r="AA53" s="1229" t="str">
        <f t="shared" si="26"/>
        <v/>
      </c>
      <c r="AB53" s="1229">
        <f t="shared" si="26"/>
        <v>46783</v>
      </c>
      <c r="AC53" s="1229" t="str">
        <f t="shared" si="26"/>
        <v/>
      </c>
      <c r="AD53" s="1229" t="str">
        <f t="shared" si="26"/>
        <v/>
      </c>
      <c r="AE53" s="1230">
        <f t="shared" si="24"/>
        <v>0</v>
      </c>
      <c r="AF53" s="1230">
        <f t="shared" si="24"/>
        <v>0</v>
      </c>
      <c r="AG53" s="1230">
        <f t="shared" si="24"/>
        <v>0</v>
      </c>
      <c r="AH53" s="1230">
        <f t="shared" si="24"/>
        <v>0</v>
      </c>
      <c r="AI53" s="1230">
        <f t="shared" si="24"/>
        <v>0</v>
      </c>
      <c r="AJ53" s="1230">
        <f t="shared" si="24"/>
        <v>0</v>
      </c>
      <c r="AK53" s="1230">
        <f t="shared" si="24"/>
        <v>0</v>
      </c>
      <c r="AL53" s="1230">
        <f t="shared" si="24"/>
        <v>0.9178082191780822</v>
      </c>
      <c r="AM53" s="1230">
        <f t="shared" si="24"/>
        <v>0</v>
      </c>
      <c r="AN53" s="1230">
        <f t="shared" si="24"/>
        <v>0</v>
      </c>
      <c r="AO53" s="1231">
        <f t="shared" si="27"/>
        <v>0</v>
      </c>
      <c r="AP53" s="1231">
        <f t="shared" si="27"/>
        <v>0</v>
      </c>
      <c r="AQ53" s="1231">
        <f t="shared" si="27"/>
        <v>0</v>
      </c>
      <c r="AR53" s="1231">
        <f t="shared" si="27"/>
        <v>0</v>
      </c>
      <c r="AS53" s="1231">
        <f t="shared" si="27"/>
        <v>0</v>
      </c>
      <c r="AT53" s="1231">
        <f t="shared" si="27"/>
        <v>0</v>
      </c>
      <c r="AU53" s="1231">
        <f t="shared" si="27"/>
        <v>0</v>
      </c>
      <c r="AV53" s="1231">
        <f t="shared" si="27"/>
        <v>0</v>
      </c>
      <c r="AW53" s="1231">
        <f t="shared" si="27"/>
        <v>0</v>
      </c>
      <c r="AX53" s="1231">
        <f t="shared" si="27"/>
        <v>0</v>
      </c>
    </row>
    <row r="54" spans="1:50" ht="15" hidden="1" outlineLevel="1" x14ac:dyDescent="0.25">
      <c r="B54" s="1233" t="s">
        <v>780</v>
      </c>
      <c r="C54" s="1225"/>
      <c r="D54" s="1225"/>
      <c r="E54" s="1225"/>
      <c r="F54" s="1225"/>
      <c r="G54" s="1225"/>
      <c r="H54" s="1226">
        <v>0</v>
      </c>
      <c r="I54" s="1226">
        <v>0</v>
      </c>
      <c r="J54" s="1226">
        <v>0</v>
      </c>
      <c r="K54" s="1226">
        <v>0</v>
      </c>
      <c r="L54" s="1226">
        <v>0</v>
      </c>
      <c r="M54" s="1226">
        <v>0</v>
      </c>
      <c r="N54" s="1226">
        <v>0</v>
      </c>
      <c r="O54" s="1227">
        <f t="shared" si="25"/>
        <v>0</v>
      </c>
      <c r="P54" s="1223"/>
      <c r="Q54" s="1232">
        <v>47483</v>
      </c>
      <c r="R54" s="1218"/>
      <c r="S54" s="1232"/>
      <c r="T54" s="1223"/>
      <c r="U54" s="1229" t="str">
        <f t="shared" si="26"/>
        <v/>
      </c>
      <c r="V54" s="1229" t="str">
        <f t="shared" si="26"/>
        <v/>
      </c>
      <c r="W54" s="1229" t="str">
        <f t="shared" si="26"/>
        <v/>
      </c>
      <c r="X54" s="1229" t="str">
        <f t="shared" si="26"/>
        <v/>
      </c>
      <c r="Y54" s="1229" t="str">
        <f t="shared" si="26"/>
        <v/>
      </c>
      <c r="Z54" s="1229" t="str">
        <f t="shared" si="26"/>
        <v/>
      </c>
      <c r="AA54" s="1229" t="str">
        <f t="shared" si="26"/>
        <v/>
      </c>
      <c r="AB54" s="1229" t="str">
        <f t="shared" si="26"/>
        <v/>
      </c>
      <c r="AC54" s="1229">
        <f t="shared" si="26"/>
        <v>47483</v>
      </c>
      <c r="AD54" s="1229" t="str">
        <f t="shared" si="26"/>
        <v/>
      </c>
      <c r="AE54" s="1230">
        <f t="shared" si="24"/>
        <v>0</v>
      </c>
      <c r="AF54" s="1230">
        <f t="shared" si="24"/>
        <v>0</v>
      </c>
      <c r="AG54" s="1230">
        <f t="shared" si="24"/>
        <v>0</v>
      </c>
      <c r="AH54" s="1230">
        <f t="shared" si="24"/>
        <v>0</v>
      </c>
      <c r="AI54" s="1230">
        <f t="shared" si="24"/>
        <v>0</v>
      </c>
      <c r="AJ54" s="1230">
        <f t="shared" si="24"/>
        <v>0</v>
      </c>
      <c r="AK54" s="1230">
        <f t="shared" si="24"/>
        <v>0</v>
      </c>
      <c r="AL54" s="1230">
        <f t="shared" si="24"/>
        <v>0</v>
      </c>
      <c r="AM54" s="1230">
        <f t="shared" si="24"/>
        <v>0</v>
      </c>
      <c r="AN54" s="1230">
        <f t="shared" si="24"/>
        <v>0</v>
      </c>
      <c r="AO54" s="1231">
        <f t="shared" si="27"/>
        <v>0</v>
      </c>
      <c r="AP54" s="1231">
        <f t="shared" si="27"/>
        <v>0</v>
      </c>
      <c r="AQ54" s="1231">
        <f t="shared" si="27"/>
        <v>0</v>
      </c>
      <c r="AR54" s="1231">
        <f t="shared" si="27"/>
        <v>0</v>
      </c>
      <c r="AS54" s="1231">
        <f t="shared" si="27"/>
        <v>0</v>
      </c>
      <c r="AT54" s="1231">
        <f t="shared" si="27"/>
        <v>0</v>
      </c>
      <c r="AU54" s="1231">
        <f t="shared" si="27"/>
        <v>0</v>
      </c>
      <c r="AV54" s="1231">
        <f t="shared" si="27"/>
        <v>0</v>
      </c>
      <c r="AW54" s="1231">
        <f t="shared" si="27"/>
        <v>0</v>
      </c>
      <c r="AX54" s="1231">
        <f t="shared" si="27"/>
        <v>0</v>
      </c>
    </row>
    <row r="55" spans="1:50" ht="15" hidden="1" outlineLevel="1" x14ac:dyDescent="0.25">
      <c r="B55" s="1233" t="s">
        <v>781</v>
      </c>
      <c r="C55" s="1225"/>
      <c r="D55" s="1225"/>
      <c r="E55" s="1225"/>
      <c r="F55" s="1225"/>
      <c r="G55" s="1225"/>
      <c r="H55" s="1226">
        <v>0</v>
      </c>
      <c r="I55" s="1226">
        <v>0</v>
      </c>
      <c r="J55" s="1226">
        <v>0</v>
      </c>
      <c r="K55" s="1226">
        <v>0</v>
      </c>
      <c r="L55" s="1226">
        <v>0</v>
      </c>
      <c r="M55" s="1226">
        <v>0</v>
      </c>
      <c r="N55" s="1226">
        <v>0</v>
      </c>
      <c r="O55" s="1227">
        <f t="shared" si="25"/>
        <v>0</v>
      </c>
      <c r="P55" s="1223"/>
      <c r="Q55" s="1232">
        <v>48731</v>
      </c>
      <c r="R55" s="1218"/>
      <c r="S55" s="1232"/>
      <c r="T55" s="1223"/>
      <c r="U55" s="1229" t="str">
        <f t="shared" si="26"/>
        <v/>
      </c>
      <c r="V55" s="1229" t="str">
        <f t="shared" si="26"/>
        <v/>
      </c>
      <c r="W55" s="1229" t="str">
        <f t="shared" si="26"/>
        <v/>
      </c>
      <c r="X55" s="1229" t="str">
        <f t="shared" si="26"/>
        <v/>
      </c>
      <c r="Y55" s="1229" t="str">
        <f t="shared" si="26"/>
        <v/>
      </c>
      <c r="Z55" s="1229" t="str">
        <f t="shared" si="26"/>
        <v/>
      </c>
      <c r="AA55" s="1229" t="str">
        <f t="shared" si="26"/>
        <v/>
      </c>
      <c r="AB55" s="1229" t="str">
        <f t="shared" si="26"/>
        <v/>
      </c>
      <c r="AC55" s="1229" t="str">
        <f t="shared" si="26"/>
        <v/>
      </c>
      <c r="AD55" s="1229" t="str">
        <f t="shared" si="26"/>
        <v/>
      </c>
      <c r="AE55" s="1230">
        <f t="shared" si="24"/>
        <v>0</v>
      </c>
      <c r="AF55" s="1230">
        <f t="shared" si="24"/>
        <v>0</v>
      </c>
      <c r="AG55" s="1230">
        <f t="shared" si="24"/>
        <v>0</v>
      </c>
      <c r="AH55" s="1230">
        <f t="shared" si="24"/>
        <v>0</v>
      </c>
      <c r="AI55" s="1230">
        <f t="shared" si="24"/>
        <v>0</v>
      </c>
      <c r="AJ55" s="1230">
        <f t="shared" si="24"/>
        <v>0</v>
      </c>
      <c r="AK55" s="1230">
        <f t="shared" si="24"/>
        <v>0</v>
      </c>
      <c r="AL55" s="1230">
        <f t="shared" si="24"/>
        <v>0</v>
      </c>
      <c r="AM55" s="1230">
        <f t="shared" si="24"/>
        <v>0</v>
      </c>
      <c r="AN55" s="1230">
        <f t="shared" si="24"/>
        <v>0</v>
      </c>
      <c r="AO55" s="1231">
        <f t="shared" si="27"/>
        <v>0</v>
      </c>
      <c r="AP55" s="1231">
        <f t="shared" si="27"/>
        <v>0</v>
      </c>
      <c r="AQ55" s="1231">
        <f t="shared" si="27"/>
        <v>0</v>
      </c>
      <c r="AR55" s="1231">
        <f t="shared" si="27"/>
        <v>0</v>
      </c>
      <c r="AS55" s="1231">
        <f t="shared" si="27"/>
        <v>0</v>
      </c>
      <c r="AT55" s="1231">
        <f t="shared" si="27"/>
        <v>0</v>
      </c>
      <c r="AU55" s="1231">
        <f t="shared" si="27"/>
        <v>0</v>
      </c>
      <c r="AV55" s="1231">
        <f t="shared" si="27"/>
        <v>0</v>
      </c>
      <c r="AW55" s="1231">
        <f t="shared" si="27"/>
        <v>0</v>
      </c>
      <c r="AX55" s="1231">
        <f t="shared" si="27"/>
        <v>0</v>
      </c>
    </row>
    <row r="56" spans="1:50" ht="15" hidden="1" outlineLevel="1" x14ac:dyDescent="0.25">
      <c r="B56" s="1233" t="s">
        <v>782</v>
      </c>
      <c r="C56" s="1225"/>
      <c r="D56" s="1225"/>
      <c r="E56" s="1225"/>
      <c r="F56" s="1225"/>
      <c r="G56" s="1225"/>
      <c r="H56" s="1226">
        <v>0</v>
      </c>
      <c r="I56" s="1226">
        <v>0</v>
      </c>
      <c r="J56" s="1226">
        <v>0</v>
      </c>
      <c r="K56" s="1226">
        <v>0</v>
      </c>
      <c r="L56" s="1226">
        <v>0</v>
      </c>
      <c r="M56" s="1226">
        <v>0</v>
      </c>
      <c r="N56" s="1226">
        <v>0</v>
      </c>
      <c r="O56" s="1227">
        <f t="shared" si="25"/>
        <v>0</v>
      </c>
      <c r="P56" s="1223"/>
      <c r="Q56" s="1232">
        <v>49125</v>
      </c>
      <c r="R56" s="1218"/>
      <c r="S56" s="1232"/>
      <c r="T56" s="1223"/>
      <c r="U56" s="1229" t="str">
        <f t="shared" si="26"/>
        <v/>
      </c>
      <c r="V56" s="1229" t="str">
        <f t="shared" si="26"/>
        <v/>
      </c>
      <c r="W56" s="1229" t="str">
        <f t="shared" si="26"/>
        <v/>
      </c>
      <c r="X56" s="1229" t="str">
        <f t="shared" si="26"/>
        <v/>
      </c>
      <c r="Y56" s="1229" t="str">
        <f t="shared" si="26"/>
        <v/>
      </c>
      <c r="Z56" s="1229" t="str">
        <f t="shared" si="26"/>
        <v/>
      </c>
      <c r="AA56" s="1229" t="str">
        <f t="shared" si="26"/>
        <v/>
      </c>
      <c r="AB56" s="1229" t="str">
        <f t="shared" si="26"/>
        <v/>
      </c>
      <c r="AC56" s="1229" t="str">
        <f t="shared" si="26"/>
        <v/>
      </c>
      <c r="AD56" s="1229" t="str">
        <f t="shared" si="26"/>
        <v/>
      </c>
      <c r="AE56" s="1230">
        <f t="shared" si="24"/>
        <v>0</v>
      </c>
      <c r="AF56" s="1230">
        <f t="shared" si="24"/>
        <v>0</v>
      </c>
      <c r="AG56" s="1230">
        <f t="shared" si="24"/>
        <v>0</v>
      </c>
      <c r="AH56" s="1230">
        <f t="shared" si="24"/>
        <v>0</v>
      </c>
      <c r="AI56" s="1230">
        <f t="shared" si="24"/>
        <v>0</v>
      </c>
      <c r="AJ56" s="1230">
        <f t="shared" si="24"/>
        <v>0</v>
      </c>
      <c r="AK56" s="1230">
        <f t="shared" si="24"/>
        <v>0</v>
      </c>
      <c r="AL56" s="1230">
        <f t="shared" si="24"/>
        <v>0</v>
      </c>
      <c r="AM56" s="1230">
        <f t="shared" si="24"/>
        <v>0</v>
      </c>
      <c r="AN56" s="1230">
        <f t="shared" si="24"/>
        <v>0</v>
      </c>
      <c r="AO56" s="1231">
        <f t="shared" si="27"/>
        <v>0</v>
      </c>
      <c r="AP56" s="1231">
        <f t="shared" si="27"/>
        <v>0</v>
      </c>
      <c r="AQ56" s="1231">
        <f t="shared" si="27"/>
        <v>0</v>
      </c>
      <c r="AR56" s="1231">
        <f t="shared" si="27"/>
        <v>0</v>
      </c>
      <c r="AS56" s="1231">
        <f t="shared" si="27"/>
        <v>0</v>
      </c>
      <c r="AT56" s="1231">
        <f t="shared" si="27"/>
        <v>0</v>
      </c>
      <c r="AU56" s="1231">
        <f t="shared" si="27"/>
        <v>0</v>
      </c>
      <c r="AV56" s="1231">
        <f t="shared" si="27"/>
        <v>0</v>
      </c>
      <c r="AW56" s="1231">
        <f t="shared" si="27"/>
        <v>0</v>
      </c>
      <c r="AX56" s="1231">
        <f t="shared" si="27"/>
        <v>0</v>
      </c>
    </row>
    <row r="57" spans="1:50" ht="15" hidden="1" outlineLevel="1" x14ac:dyDescent="0.25">
      <c r="B57" s="1233"/>
      <c r="C57" s="1245"/>
      <c r="D57" s="1245"/>
      <c r="E57" s="1245"/>
      <c r="F57" s="1245"/>
      <c r="G57" s="1245"/>
      <c r="H57" s="1245"/>
      <c r="I57" s="1233"/>
      <c r="J57" s="1233"/>
      <c r="K57" s="1235"/>
      <c r="L57" s="1235"/>
      <c r="M57" s="1235"/>
      <c r="N57" s="1235"/>
      <c r="O57" s="1227">
        <f t="shared" si="25"/>
        <v>0</v>
      </c>
      <c r="P57" s="1223"/>
      <c r="Q57" s="1232"/>
      <c r="R57" s="1228"/>
      <c r="S57" s="1232"/>
      <c r="T57" s="1223"/>
      <c r="U57" s="1229" t="str">
        <f t="shared" si="26"/>
        <v/>
      </c>
      <c r="V57" s="1229" t="str">
        <f t="shared" si="26"/>
        <v/>
      </c>
      <c r="W57" s="1229" t="str">
        <f t="shared" si="26"/>
        <v/>
      </c>
      <c r="X57" s="1229" t="str">
        <f t="shared" si="26"/>
        <v/>
      </c>
      <c r="Y57" s="1229" t="str">
        <f t="shared" si="26"/>
        <v/>
      </c>
      <c r="Z57" s="1229" t="str">
        <f t="shared" si="26"/>
        <v/>
      </c>
      <c r="AA57" s="1229" t="str">
        <f t="shared" si="26"/>
        <v/>
      </c>
      <c r="AB57" s="1229" t="str">
        <f t="shared" si="26"/>
        <v/>
      </c>
      <c r="AC57" s="1229" t="str">
        <f t="shared" si="26"/>
        <v/>
      </c>
      <c r="AD57" s="1229" t="str">
        <f t="shared" si="26"/>
        <v/>
      </c>
      <c r="AE57" s="1230">
        <f t="shared" si="24"/>
        <v>0</v>
      </c>
      <c r="AF57" s="1230">
        <f t="shared" si="24"/>
        <v>0</v>
      </c>
      <c r="AG57" s="1230">
        <f t="shared" si="24"/>
        <v>0</v>
      </c>
      <c r="AH57" s="1230">
        <f t="shared" si="24"/>
        <v>0</v>
      </c>
      <c r="AI57" s="1230">
        <f t="shared" si="24"/>
        <v>0</v>
      </c>
      <c r="AJ57" s="1230">
        <f t="shared" si="24"/>
        <v>0</v>
      </c>
      <c r="AK57" s="1230">
        <f t="shared" si="24"/>
        <v>0</v>
      </c>
      <c r="AL57" s="1230">
        <f t="shared" si="24"/>
        <v>0</v>
      </c>
      <c r="AM57" s="1230">
        <f t="shared" si="24"/>
        <v>0</v>
      </c>
      <c r="AN57" s="1230">
        <f t="shared" si="24"/>
        <v>0</v>
      </c>
    </row>
    <row r="58" spans="1:50" ht="15" hidden="1" outlineLevel="1" x14ac:dyDescent="0.25">
      <c r="B58" s="1245"/>
      <c r="C58" s="1245"/>
      <c r="D58" s="1245"/>
      <c r="E58" s="1245"/>
      <c r="F58" s="1245"/>
      <c r="G58" s="1245"/>
      <c r="H58" s="1245"/>
      <c r="I58" s="1233"/>
      <c r="J58" s="1233"/>
      <c r="K58" s="1233"/>
      <c r="L58" s="1233"/>
      <c r="M58" s="1246"/>
      <c r="N58" s="1246"/>
      <c r="O58" s="1227">
        <f t="shared" si="25"/>
        <v>0</v>
      </c>
      <c r="P58" s="1223"/>
      <c r="Q58" s="1232"/>
      <c r="R58" s="1228"/>
      <c r="S58" s="1232"/>
      <c r="T58" s="1223"/>
      <c r="U58" s="1238"/>
      <c r="V58" s="1229"/>
      <c r="W58" s="1229"/>
      <c r="X58" s="1229"/>
      <c r="Y58" s="1229"/>
      <c r="Z58" s="1229"/>
      <c r="AA58" s="1229"/>
      <c r="AB58" s="1238"/>
      <c r="AC58" s="1238"/>
      <c r="AD58" s="1238"/>
      <c r="AE58" s="1230">
        <f t="shared" si="24"/>
        <v>0</v>
      </c>
      <c r="AF58" s="1230">
        <f t="shared" si="24"/>
        <v>0</v>
      </c>
      <c r="AG58" s="1230">
        <f t="shared" si="24"/>
        <v>0</v>
      </c>
      <c r="AH58" s="1230">
        <f t="shared" si="24"/>
        <v>0</v>
      </c>
      <c r="AI58" s="1230">
        <f t="shared" si="24"/>
        <v>0</v>
      </c>
      <c r="AJ58" s="1230">
        <f t="shared" si="24"/>
        <v>0</v>
      </c>
      <c r="AK58" s="1230">
        <f t="shared" si="24"/>
        <v>0</v>
      </c>
      <c r="AL58" s="1230">
        <f t="shared" si="24"/>
        <v>0</v>
      </c>
      <c r="AM58" s="1230">
        <f t="shared" si="24"/>
        <v>0</v>
      </c>
      <c r="AN58" s="1230">
        <f t="shared" si="24"/>
        <v>0</v>
      </c>
    </row>
    <row r="59" spans="1:50" ht="15" hidden="1" outlineLevel="2" x14ac:dyDescent="0.25">
      <c r="B59" s="1245"/>
      <c r="C59" s="1245"/>
      <c r="D59" s="1245"/>
      <c r="E59" s="1245"/>
      <c r="F59" s="1245"/>
      <c r="G59" s="1245"/>
      <c r="H59" s="1245"/>
      <c r="I59" s="1233"/>
      <c r="J59" s="1233"/>
      <c r="K59" s="1233"/>
      <c r="L59" s="1233"/>
      <c r="M59" s="1235"/>
      <c r="N59" s="1235"/>
      <c r="O59" s="1227">
        <f t="shared" si="25"/>
        <v>0</v>
      </c>
      <c r="P59" s="1223"/>
      <c r="Q59" s="1232"/>
      <c r="R59" s="1228"/>
      <c r="S59" s="1232"/>
      <c r="T59" s="1223"/>
      <c r="U59" s="1238"/>
      <c r="V59" s="1229"/>
      <c r="W59" s="1229"/>
      <c r="X59" s="1229"/>
      <c r="Y59" s="1229"/>
      <c r="Z59" s="1229"/>
      <c r="AA59" s="1229"/>
      <c r="AB59" s="1238"/>
      <c r="AC59" s="1238"/>
      <c r="AD59" s="1238"/>
      <c r="AE59" s="1230">
        <f t="shared" si="24"/>
        <v>0</v>
      </c>
      <c r="AF59" s="1230">
        <f t="shared" si="24"/>
        <v>0</v>
      </c>
      <c r="AG59" s="1230">
        <f t="shared" si="24"/>
        <v>0</v>
      </c>
      <c r="AH59" s="1230">
        <f t="shared" si="24"/>
        <v>0</v>
      </c>
      <c r="AI59" s="1230">
        <f t="shared" si="24"/>
        <v>0</v>
      </c>
      <c r="AJ59" s="1230">
        <f t="shared" si="24"/>
        <v>0</v>
      </c>
      <c r="AK59" s="1230">
        <f t="shared" si="24"/>
        <v>0</v>
      </c>
      <c r="AL59" s="1230">
        <f t="shared" si="24"/>
        <v>0</v>
      </c>
      <c r="AM59" s="1230">
        <f t="shared" si="24"/>
        <v>0</v>
      </c>
      <c r="AN59" s="1230">
        <f t="shared" si="24"/>
        <v>0</v>
      </c>
    </row>
    <row r="60" spans="1:50" ht="15" hidden="1" outlineLevel="2" x14ac:dyDescent="0.25">
      <c r="B60" s="1245"/>
      <c r="C60" s="1245"/>
      <c r="D60" s="1245"/>
      <c r="E60" s="1245"/>
      <c r="F60" s="1245"/>
      <c r="G60" s="1247"/>
      <c r="H60" s="1247"/>
      <c r="I60" s="1233"/>
      <c r="J60" s="1233"/>
      <c r="K60" s="1233"/>
      <c r="L60" s="1233"/>
      <c r="M60" s="1247"/>
      <c r="N60" s="1247"/>
      <c r="O60" s="1227">
        <f t="shared" si="25"/>
        <v>0</v>
      </c>
      <c r="P60" s="1223"/>
      <c r="Q60" s="1232"/>
      <c r="R60" s="1228"/>
      <c r="S60" s="1232"/>
      <c r="T60" s="1223"/>
      <c r="U60" s="1238"/>
      <c r="V60" s="1238"/>
      <c r="W60" s="1248"/>
      <c r="X60" s="1238"/>
      <c r="Y60" s="1238"/>
      <c r="Z60" s="1238"/>
      <c r="AA60" s="1238"/>
      <c r="AB60" s="1238"/>
      <c r="AC60" s="1238"/>
      <c r="AD60" s="1238"/>
      <c r="AE60" s="1230">
        <f t="shared" si="24"/>
        <v>0</v>
      </c>
      <c r="AF60" s="1230">
        <f t="shared" si="24"/>
        <v>0</v>
      </c>
      <c r="AG60" s="1230">
        <f t="shared" si="24"/>
        <v>0</v>
      </c>
      <c r="AH60" s="1230">
        <f t="shared" si="24"/>
        <v>0</v>
      </c>
      <c r="AI60" s="1230">
        <f t="shared" si="24"/>
        <v>0</v>
      </c>
      <c r="AJ60" s="1230">
        <f t="shared" si="24"/>
        <v>0</v>
      </c>
      <c r="AK60" s="1230">
        <f t="shared" si="24"/>
        <v>0</v>
      </c>
      <c r="AL60" s="1230">
        <f t="shared" si="24"/>
        <v>0</v>
      </c>
      <c r="AM60" s="1230">
        <f t="shared" si="24"/>
        <v>0</v>
      </c>
      <c r="AN60" s="1230">
        <f t="shared" si="24"/>
        <v>0</v>
      </c>
    </row>
    <row r="61" spans="1:50" ht="15" hidden="1" outlineLevel="2" x14ac:dyDescent="0.25">
      <c r="B61" s="1245"/>
      <c r="C61" s="1245"/>
      <c r="D61" s="1245"/>
      <c r="E61" s="1245"/>
      <c r="F61" s="1245"/>
      <c r="G61" s="1235"/>
      <c r="H61" s="1235"/>
      <c r="I61" s="1235"/>
      <c r="J61" s="1235"/>
      <c r="K61" s="1233"/>
      <c r="L61" s="1233"/>
      <c r="M61" s="1233"/>
      <c r="N61" s="1233"/>
      <c r="O61" s="1227">
        <f t="shared" si="25"/>
        <v>0</v>
      </c>
      <c r="P61" s="1223"/>
      <c r="Q61" s="1232"/>
      <c r="R61" s="1228"/>
      <c r="S61" s="1232"/>
      <c r="T61" s="1223"/>
      <c r="U61" s="1238"/>
      <c r="V61" s="1238"/>
      <c r="W61" s="1248"/>
      <c r="X61" s="1238"/>
      <c r="Y61" s="1229"/>
      <c r="Z61" s="1229"/>
      <c r="AA61" s="1229"/>
      <c r="AB61" s="1229"/>
      <c r="AC61" s="1229"/>
      <c r="AD61" s="1229"/>
      <c r="AE61" s="1230">
        <f t="shared" si="24"/>
        <v>0</v>
      </c>
      <c r="AF61" s="1230">
        <f t="shared" si="24"/>
        <v>0</v>
      </c>
      <c r="AG61" s="1230">
        <f t="shared" si="24"/>
        <v>0</v>
      </c>
      <c r="AH61" s="1230">
        <f t="shared" si="24"/>
        <v>0</v>
      </c>
      <c r="AI61" s="1230">
        <f t="shared" si="24"/>
        <v>0</v>
      </c>
      <c r="AJ61" s="1230">
        <f t="shared" si="24"/>
        <v>0</v>
      </c>
      <c r="AK61" s="1230">
        <f t="shared" si="24"/>
        <v>0</v>
      </c>
      <c r="AL61" s="1230">
        <f t="shared" si="24"/>
        <v>0</v>
      </c>
      <c r="AM61" s="1230">
        <f t="shared" si="24"/>
        <v>0</v>
      </c>
      <c r="AN61" s="1230">
        <f t="shared" si="24"/>
        <v>0</v>
      </c>
    </row>
    <row r="62" spans="1:50" ht="15" hidden="1" outlineLevel="1" x14ac:dyDescent="0.25">
      <c r="B62" s="1245"/>
      <c r="C62" s="1245"/>
      <c r="D62" s="1245"/>
      <c r="E62" s="1245"/>
      <c r="F62" s="1245"/>
      <c r="G62" s="1245"/>
      <c r="H62" s="1247"/>
      <c r="I62" s="1247"/>
      <c r="J62" s="1247"/>
      <c r="K62" s="1247"/>
      <c r="L62" s="1247"/>
      <c r="M62" s="1247"/>
      <c r="N62" s="1247"/>
      <c r="O62" s="1227">
        <f t="shared" si="25"/>
        <v>0</v>
      </c>
      <c r="P62" s="1223"/>
      <c r="Q62" s="1232"/>
      <c r="R62" s="1228"/>
      <c r="S62" s="1232"/>
      <c r="T62" s="1223"/>
      <c r="U62" s="1238"/>
      <c r="V62" s="1238"/>
      <c r="W62" s="1248"/>
      <c r="X62" s="1238"/>
      <c r="Y62" s="1238"/>
      <c r="Z62" s="1238"/>
      <c r="AA62" s="1238"/>
      <c r="AB62" s="1238"/>
      <c r="AC62" s="1238"/>
      <c r="AD62" s="1238"/>
      <c r="AE62" s="1230">
        <f t="shared" si="24"/>
        <v>0</v>
      </c>
      <c r="AF62" s="1230">
        <f t="shared" si="24"/>
        <v>0</v>
      </c>
      <c r="AG62" s="1230">
        <f t="shared" si="24"/>
        <v>0</v>
      </c>
      <c r="AH62" s="1230">
        <f t="shared" si="24"/>
        <v>0</v>
      </c>
      <c r="AI62" s="1230">
        <f t="shared" si="24"/>
        <v>0</v>
      </c>
      <c r="AJ62" s="1230">
        <f t="shared" si="24"/>
        <v>0</v>
      </c>
      <c r="AK62" s="1230">
        <f t="shared" si="24"/>
        <v>0</v>
      </c>
      <c r="AL62" s="1230">
        <f t="shared" si="24"/>
        <v>0</v>
      </c>
      <c r="AM62" s="1230">
        <f t="shared" si="24"/>
        <v>0</v>
      </c>
      <c r="AN62" s="1230">
        <f t="shared" si="24"/>
        <v>0</v>
      </c>
    </row>
    <row r="63" spans="1:50" ht="15" hidden="1" outlineLevel="1" x14ac:dyDescent="0.25">
      <c r="B63" s="1249"/>
      <c r="C63" s="1227"/>
      <c r="D63" s="1227"/>
      <c r="E63" s="1227"/>
      <c r="F63" s="1227"/>
      <c r="G63" s="1227"/>
      <c r="H63" s="1227"/>
      <c r="I63" s="1227"/>
      <c r="J63" s="1227"/>
      <c r="K63" s="1227"/>
      <c r="L63" s="1227"/>
      <c r="M63" s="1227"/>
      <c r="N63" s="1227"/>
      <c r="O63" s="1227"/>
      <c r="P63" s="1223"/>
      <c r="Q63" s="1232"/>
      <c r="R63" s="1228"/>
      <c r="S63" s="1232"/>
      <c r="T63" s="1223"/>
      <c r="U63" s="1238"/>
      <c r="V63" s="1238"/>
      <c r="W63" s="1238"/>
      <c r="X63" s="1238"/>
      <c r="Y63" s="1238"/>
      <c r="Z63" s="1238"/>
      <c r="AA63" s="1238"/>
      <c r="AB63" s="1238"/>
      <c r="AC63" s="1238"/>
      <c r="AD63" s="1238"/>
      <c r="AE63" s="1230">
        <f t="shared" si="24"/>
        <v>0</v>
      </c>
      <c r="AF63" s="1230">
        <f t="shared" si="24"/>
        <v>0</v>
      </c>
      <c r="AG63" s="1230">
        <f t="shared" si="24"/>
        <v>0</v>
      </c>
      <c r="AH63" s="1230">
        <f t="shared" si="24"/>
        <v>0</v>
      </c>
      <c r="AI63" s="1230">
        <f t="shared" si="24"/>
        <v>0</v>
      </c>
      <c r="AJ63" s="1230">
        <f t="shared" si="24"/>
        <v>0</v>
      </c>
      <c r="AK63" s="1230">
        <f t="shared" si="24"/>
        <v>0</v>
      </c>
      <c r="AL63" s="1230">
        <f t="shared" si="24"/>
        <v>0</v>
      </c>
      <c r="AM63" s="1230">
        <f t="shared" si="24"/>
        <v>0</v>
      </c>
      <c r="AN63" s="1230">
        <f t="shared" si="24"/>
        <v>0</v>
      </c>
    </row>
    <row r="64" spans="1:50" s="1207" customFormat="1" ht="15" hidden="1" collapsed="1" x14ac:dyDescent="0.25">
      <c r="A64" s="1213">
        <f>+A63+1</f>
        <v>1</v>
      </c>
      <c r="B64" s="1204" t="s">
        <v>647</v>
      </c>
      <c r="C64" s="1215"/>
      <c r="D64" s="1215"/>
      <c r="E64" s="1215"/>
      <c r="F64" s="1215"/>
      <c r="G64" s="1215"/>
      <c r="H64" s="1215">
        <f t="shared" ref="H64:N64" si="28">SUM(H65:H80)</f>
        <v>0</v>
      </c>
      <c r="I64" s="1215">
        <f t="shared" si="28"/>
        <v>0</v>
      </c>
      <c r="J64" s="1215">
        <f t="shared" si="28"/>
        <v>0</v>
      </c>
      <c r="K64" s="1215">
        <f t="shared" si="28"/>
        <v>0</v>
      </c>
      <c r="L64" s="1215">
        <f t="shared" si="28"/>
        <v>0</v>
      </c>
      <c r="M64" s="1215">
        <f t="shared" si="28"/>
        <v>0</v>
      </c>
      <c r="N64" s="1215">
        <f t="shared" si="28"/>
        <v>0</v>
      </c>
      <c r="O64" s="1216">
        <f t="shared" ref="O64:O136" si="29">SUM(D64:N64)</f>
        <v>0</v>
      </c>
      <c r="P64" s="1217"/>
      <c r="Q64" s="1244"/>
      <c r="S64" s="1244"/>
      <c r="T64" s="1217"/>
      <c r="AE64" s="1230">
        <f t="shared" si="24"/>
        <v>0</v>
      </c>
      <c r="AF64" s="1230">
        <f t="shared" si="24"/>
        <v>0</v>
      </c>
      <c r="AG64" s="1230">
        <f t="shared" si="24"/>
        <v>0</v>
      </c>
      <c r="AH64" s="1230">
        <f t="shared" si="24"/>
        <v>0</v>
      </c>
      <c r="AI64" s="1230">
        <f t="shared" si="24"/>
        <v>0</v>
      </c>
      <c r="AJ64" s="1230">
        <f t="shared" si="24"/>
        <v>0</v>
      </c>
      <c r="AK64" s="1230">
        <f t="shared" si="24"/>
        <v>0</v>
      </c>
      <c r="AL64" s="1230">
        <f t="shared" si="24"/>
        <v>0</v>
      </c>
      <c r="AM64" s="1230">
        <f t="shared" si="24"/>
        <v>0</v>
      </c>
      <c r="AN64" s="1230">
        <f t="shared" si="24"/>
        <v>0</v>
      </c>
    </row>
    <row r="65" spans="1:50" ht="15" hidden="1" outlineLevel="1" x14ac:dyDescent="0.25">
      <c r="A65" s="1218">
        <v>1</v>
      </c>
      <c r="B65" s="1249" t="s">
        <v>783</v>
      </c>
      <c r="C65" s="1225"/>
      <c r="D65" s="1225"/>
      <c r="E65" s="1225"/>
      <c r="F65" s="1225"/>
      <c r="G65" s="1226"/>
      <c r="H65" s="1226">
        <v>0</v>
      </c>
      <c r="I65" s="1226">
        <v>0</v>
      </c>
      <c r="J65" s="1226">
        <v>0</v>
      </c>
      <c r="K65" s="1226">
        <v>0</v>
      </c>
      <c r="L65" s="1226">
        <v>0</v>
      </c>
      <c r="M65" s="1226">
        <v>0</v>
      </c>
      <c r="N65" s="1226">
        <v>0</v>
      </c>
      <c r="O65" s="1227">
        <f t="shared" ref="O65:O79" si="30">SUM(C65:N65)</f>
        <v>0</v>
      </c>
      <c r="P65" s="1223"/>
      <c r="Q65" s="1232"/>
      <c r="R65" s="1218" t="s">
        <v>708</v>
      </c>
      <c r="S65" s="1232"/>
      <c r="T65" s="1223"/>
      <c r="U65" s="1229" t="str">
        <f t="shared" ref="U65:AD72" si="31">IF(U$6=YEAR($Q65),$Q65,"")</f>
        <v/>
      </c>
      <c r="V65" s="1229" t="str">
        <f t="shared" si="31"/>
        <v/>
      </c>
      <c r="W65" s="1239"/>
      <c r="X65" s="1239">
        <v>45657</v>
      </c>
      <c r="Y65" s="1229" t="str">
        <f t="shared" si="31"/>
        <v/>
      </c>
      <c r="Z65" s="1229" t="str">
        <f t="shared" si="31"/>
        <v/>
      </c>
      <c r="AA65" s="1229" t="str">
        <f t="shared" si="31"/>
        <v/>
      </c>
      <c r="AB65" s="1229" t="str">
        <f t="shared" si="31"/>
        <v/>
      </c>
      <c r="AC65" s="1229" t="str">
        <f t="shared" si="31"/>
        <v/>
      </c>
      <c r="AD65" s="1229" t="str">
        <f t="shared" si="31"/>
        <v/>
      </c>
      <c r="AE65" s="1230">
        <f>IF(U65="",,(DATE(AE$6,12,31)-U65)/365)</f>
        <v>0</v>
      </c>
      <c r="AF65" s="1230">
        <f t="shared" si="24"/>
        <v>0</v>
      </c>
      <c r="AG65" s="1230">
        <f t="shared" si="24"/>
        <v>0</v>
      </c>
      <c r="AH65" s="1230">
        <f>IF(X65="",,(DATE(AH$6,12,31)-X65)/365)</f>
        <v>0</v>
      </c>
      <c r="AI65" s="1230">
        <f>IF(Y65="",,(DATE(AI$6,12,31)-Y65)/365)</f>
        <v>0</v>
      </c>
      <c r="AJ65" s="1230">
        <f t="shared" si="24"/>
        <v>0</v>
      </c>
      <c r="AK65" s="1230">
        <f t="shared" si="24"/>
        <v>0</v>
      </c>
      <c r="AL65" s="1230">
        <f t="shared" si="24"/>
        <v>0</v>
      </c>
      <c r="AM65" s="1230">
        <f t="shared" si="24"/>
        <v>0</v>
      </c>
      <c r="AN65" s="1230">
        <f t="shared" si="24"/>
        <v>0</v>
      </c>
      <c r="AO65" s="1231">
        <f t="shared" ref="AO65:AX72" si="32">AE65*E65</f>
        <v>0</v>
      </c>
      <c r="AP65" s="1231">
        <f t="shared" si="32"/>
        <v>0</v>
      </c>
      <c r="AQ65" s="1231">
        <f t="shared" si="32"/>
        <v>0</v>
      </c>
      <c r="AR65" s="1231">
        <f t="shared" si="32"/>
        <v>0</v>
      </c>
      <c r="AS65" s="1231">
        <f t="shared" si="32"/>
        <v>0</v>
      </c>
      <c r="AT65" s="1231">
        <f t="shared" si="32"/>
        <v>0</v>
      </c>
      <c r="AU65" s="1231">
        <f t="shared" si="32"/>
        <v>0</v>
      </c>
      <c r="AV65" s="1231">
        <f t="shared" si="32"/>
        <v>0</v>
      </c>
      <c r="AW65" s="1231">
        <f t="shared" si="32"/>
        <v>0</v>
      </c>
      <c r="AX65" s="1231">
        <f t="shared" si="32"/>
        <v>0</v>
      </c>
    </row>
    <row r="66" spans="1:50" ht="15" hidden="1" outlineLevel="1" x14ac:dyDescent="0.25">
      <c r="B66" s="1249" t="s">
        <v>784</v>
      </c>
      <c r="C66" s="1225"/>
      <c r="D66" s="1225"/>
      <c r="E66" s="1225"/>
      <c r="F66" s="1225"/>
      <c r="G66" s="1226"/>
      <c r="H66" s="1226">
        <v>0</v>
      </c>
      <c r="I66" s="1226">
        <v>0</v>
      </c>
      <c r="J66" s="1226">
        <v>0</v>
      </c>
      <c r="K66" s="1226">
        <v>0</v>
      </c>
      <c r="L66" s="1226">
        <v>0</v>
      </c>
      <c r="M66" s="1226">
        <v>0</v>
      </c>
      <c r="N66" s="1226">
        <v>0</v>
      </c>
      <c r="O66" s="1227">
        <f t="shared" si="30"/>
        <v>0</v>
      </c>
      <c r="P66" s="1223"/>
      <c r="Q66" s="1232"/>
      <c r="R66" s="1218" t="s">
        <v>785</v>
      </c>
      <c r="S66" s="1232"/>
      <c r="T66" s="1223"/>
      <c r="U66" s="1229" t="str">
        <f t="shared" si="31"/>
        <v/>
      </c>
      <c r="V66" s="1229" t="str">
        <f t="shared" si="31"/>
        <v/>
      </c>
      <c r="W66" s="1239"/>
      <c r="X66" s="1239">
        <v>45657</v>
      </c>
      <c r="Y66" s="1239">
        <v>46022</v>
      </c>
      <c r="Z66" s="1229" t="str">
        <f t="shared" si="31"/>
        <v/>
      </c>
      <c r="AA66" s="1229" t="str">
        <f t="shared" si="31"/>
        <v/>
      </c>
      <c r="AB66" s="1229" t="str">
        <f t="shared" si="31"/>
        <v/>
      </c>
      <c r="AC66" s="1229" t="str">
        <f t="shared" si="31"/>
        <v/>
      </c>
      <c r="AD66" s="1229" t="str">
        <f t="shared" si="31"/>
        <v/>
      </c>
      <c r="AE66" s="1230">
        <f t="shared" si="24"/>
        <v>0</v>
      </c>
      <c r="AF66" s="1230">
        <f t="shared" si="24"/>
        <v>0</v>
      </c>
      <c r="AG66" s="1230">
        <f t="shared" si="24"/>
        <v>0</v>
      </c>
      <c r="AH66" s="1230">
        <f t="shared" si="24"/>
        <v>0</v>
      </c>
      <c r="AI66" s="1230">
        <f t="shared" si="24"/>
        <v>0</v>
      </c>
      <c r="AJ66" s="1230">
        <f t="shared" si="24"/>
        <v>0</v>
      </c>
      <c r="AK66" s="1230">
        <f t="shared" si="24"/>
        <v>0</v>
      </c>
      <c r="AL66" s="1230">
        <f t="shared" si="24"/>
        <v>0</v>
      </c>
      <c r="AM66" s="1230">
        <f t="shared" si="24"/>
        <v>0</v>
      </c>
      <c r="AN66" s="1230">
        <f t="shared" si="24"/>
        <v>0</v>
      </c>
      <c r="AO66" s="1231">
        <f t="shared" si="32"/>
        <v>0</v>
      </c>
      <c r="AP66" s="1231">
        <f t="shared" si="32"/>
        <v>0</v>
      </c>
      <c r="AQ66" s="1231">
        <f t="shared" si="32"/>
        <v>0</v>
      </c>
      <c r="AR66" s="1231">
        <f t="shared" si="32"/>
        <v>0</v>
      </c>
      <c r="AS66" s="1231">
        <f t="shared" si="32"/>
        <v>0</v>
      </c>
      <c r="AT66" s="1231">
        <f t="shared" si="32"/>
        <v>0</v>
      </c>
      <c r="AU66" s="1231">
        <f t="shared" si="32"/>
        <v>0</v>
      </c>
      <c r="AV66" s="1231">
        <f t="shared" si="32"/>
        <v>0</v>
      </c>
      <c r="AW66" s="1231">
        <f t="shared" si="32"/>
        <v>0</v>
      </c>
      <c r="AX66" s="1231">
        <f t="shared" si="32"/>
        <v>0</v>
      </c>
    </row>
    <row r="67" spans="1:50" ht="15" hidden="1" outlineLevel="1" x14ac:dyDescent="0.25">
      <c r="B67" s="1249" t="s">
        <v>786</v>
      </c>
      <c r="C67" s="1225"/>
      <c r="D67" s="1225"/>
      <c r="E67" s="1225"/>
      <c r="F67" s="1225"/>
      <c r="G67" s="1226"/>
      <c r="H67" s="1226">
        <v>0</v>
      </c>
      <c r="I67" s="1226">
        <v>0</v>
      </c>
      <c r="J67" s="1226">
        <v>0</v>
      </c>
      <c r="K67" s="1226">
        <v>0</v>
      </c>
      <c r="L67" s="1226">
        <v>0</v>
      </c>
      <c r="M67" s="1226">
        <v>0</v>
      </c>
      <c r="N67" s="1226">
        <v>0</v>
      </c>
      <c r="O67" s="1227">
        <f t="shared" si="30"/>
        <v>0</v>
      </c>
      <c r="P67" s="1223"/>
      <c r="Q67" s="1232"/>
      <c r="R67" s="1218" t="s">
        <v>787</v>
      </c>
      <c r="S67" s="1232"/>
      <c r="T67" s="1223"/>
      <c r="U67" s="1229" t="str">
        <f t="shared" si="31"/>
        <v/>
      </c>
      <c r="V67" s="1229" t="str">
        <f t="shared" si="31"/>
        <v/>
      </c>
      <c r="W67" s="1229" t="str">
        <f t="shared" si="31"/>
        <v/>
      </c>
      <c r="X67" s="1239">
        <v>45657</v>
      </c>
      <c r="Y67" s="1239"/>
      <c r="Z67" s="1229" t="str">
        <f t="shared" si="31"/>
        <v/>
      </c>
      <c r="AA67" s="1229" t="str">
        <f t="shared" si="31"/>
        <v/>
      </c>
      <c r="AB67" s="1229" t="str">
        <f t="shared" si="31"/>
        <v/>
      </c>
      <c r="AC67" s="1229" t="str">
        <f t="shared" si="31"/>
        <v/>
      </c>
      <c r="AD67" s="1229" t="str">
        <f t="shared" si="31"/>
        <v/>
      </c>
      <c r="AE67" s="1230">
        <f t="shared" si="24"/>
        <v>0</v>
      </c>
      <c r="AF67" s="1230">
        <f t="shared" si="24"/>
        <v>0</v>
      </c>
      <c r="AG67" s="1230">
        <f t="shared" si="24"/>
        <v>0</v>
      </c>
      <c r="AH67" s="1230">
        <f t="shared" si="24"/>
        <v>0</v>
      </c>
      <c r="AI67" s="1230">
        <f t="shared" si="24"/>
        <v>0</v>
      </c>
      <c r="AJ67" s="1230">
        <f t="shared" si="24"/>
        <v>0</v>
      </c>
      <c r="AK67" s="1230">
        <f t="shared" si="24"/>
        <v>0</v>
      </c>
      <c r="AL67" s="1230">
        <f t="shared" si="24"/>
        <v>0</v>
      </c>
      <c r="AM67" s="1230">
        <f t="shared" si="24"/>
        <v>0</v>
      </c>
      <c r="AN67" s="1230">
        <f t="shared" si="24"/>
        <v>0</v>
      </c>
      <c r="AO67" s="1231">
        <f t="shared" si="32"/>
        <v>0</v>
      </c>
      <c r="AP67" s="1231">
        <f t="shared" si="32"/>
        <v>0</v>
      </c>
      <c r="AQ67" s="1231">
        <f t="shared" si="32"/>
        <v>0</v>
      </c>
      <c r="AR67" s="1231">
        <f t="shared" si="32"/>
        <v>0</v>
      </c>
      <c r="AS67" s="1231">
        <f t="shared" si="32"/>
        <v>0</v>
      </c>
      <c r="AT67" s="1231">
        <f t="shared" si="32"/>
        <v>0</v>
      </c>
      <c r="AU67" s="1231">
        <f t="shared" si="32"/>
        <v>0</v>
      </c>
      <c r="AV67" s="1231">
        <f t="shared" si="32"/>
        <v>0</v>
      </c>
      <c r="AW67" s="1231">
        <f t="shared" si="32"/>
        <v>0</v>
      </c>
      <c r="AX67" s="1231">
        <f t="shared" si="32"/>
        <v>0</v>
      </c>
    </row>
    <row r="68" spans="1:50" ht="15" hidden="1" outlineLevel="1" x14ac:dyDescent="0.25">
      <c r="B68" s="1249" t="s">
        <v>788</v>
      </c>
      <c r="C68" s="1225"/>
      <c r="D68" s="1225"/>
      <c r="E68" s="1225"/>
      <c r="F68" s="1225"/>
      <c r="G68" s="1226"/>
      <c r="H68" s="1226">
        <v>0</v>
      </c>
      <c r="I68" s="1226">
        <v>0</v>
      </c>
      <c r="J68" s="1226">
        <v>0</v>
      </c>
      <c r="K68" s="1226">
        <v>0</v>
      </c>
      <c r="L68" s="1226">
        <v>0</v>
      </c>
      <c r="M68" s="1226">
        <v>0</v>
      </c>
      <c r="N68" s="1226">
        <v>0</v>
      </c>
      <c r="O68" s="1227">
        <f t="shared" si="30"/>
        <v>0</v>
      </c>
      <c r="P68" s="1223"/>
      <c r="Q68" s="1232"/>
      <c r="R68" s="1218" t="s">
        <v>789</v>
      </c>
      <c r="S68" s="1232"/>
      <c r="T68" s="1223"/>
      <c r="U68" s="1229" t="str">
        <f t="shared" si="31"/>
        <v/>
      </c>
      <c r="V68" s="1229" t="str">
        <f t="shared" si="31"/>
        <v/>
      </c>
      <c r="W68" s="1229" t="str">
        <f t="shared" si="31"/>
        <v/>
      </c>
      <c r="X68" s="1239">
        <v>45657</v>
      </c>
      <c r="Y68" s="1239">
        <v>46022</v>
      </c>
      <c r="Z68" s="1229" t="str">
        <f t="shared" si="31"/>
        <v/>
      </c>
      <c r="AA68" s="1229" t="str">
        <f t="shared" si="31"/>
        <v/>
      </c>
      <c r="AB68" s="1229" t="str">
        <f t="shared" si="31"/>
        <v/>
      </c>
      <c r="AC68" s="1229" t="str">
        <f t="shared" si="31"/>
        <v/>
      </c>
      <c r="AD68" s="1229" t="str">
        <f t="shared" si="31"/>
        <v/>
      </c>
      <c r="AE68" s="1230">
        <f t="shared" si="24"/>
        <v>0</v>
      </c>
      <c r="AF68" s="1230">
        <f t="shared" si="24"/>
        <v>0</v>
      </c>
      <c r="AG68" s="1230">
        <f t="shared" si="24"/>
        <v>0</v>
      </c>
      <c r="AH68" s="1230">
        <f t="shared" si="24"/>
        <v>0</v>
      </c>
      <c r="AI68" s="1230">
        <f t="shared" si="24"/>
        <v>0</v>
      </c>
      <c r="AJ68" s="1230">
        <f t="shared" si="24"/>
        <v>0</v>
      </c>
      <c r="AK68" s="1230">
        <f t="shared" si="24"/>
        <v>0</v>
      </c>
      <c r="AL68" s="1230">
        <f t="shared" si="24"/>
        <v>0</v>
      </c>
      <c r="AM68" s="1230">
        <f t="shared" si="24"/>
        <v>0</v>
      </c>
      <c r="AN68" s="1230">
        <f t="shared" si="24"/>
        <v>0</v>
      </c>
      <c r="AO68" s="1231">
        <f t="shared" si="32"/>
        <v>0</v>
      </c>
      <c r="AP68" s="1231">
        <f t="shared" si="32"/>
        <v>0</v>
      </c>
      <c r="AQ68" s="1231">
        <f t="shared" si="32"/>
        <v>0</v>
      </c>
      <c r="AR68" s="1231">
        <f t="shared" si="32"/>
        <v>0</v>
      </c>
      <c r="AS68" s="1231">
        <f t="shared" si="32"/>
        <v>0</v>
      </c>
      <c r="AT68" s="1231">
        <f t="shared" si="32"/>
        <v>0</v>
      </c>
      <c r="AU68" s="1231">
        <f t="shared" si="32"/>
        <v>0</v>
      </c>
      <c r="AV68" s="1231">
        <f t="shared" si="32"/>
        <v>0</v>
      </c>
      <c r="AW68" s="1231">
        <f t="shared" si="32"/>
        <v>0</v>
      </c>
      <c r="AX68" s="1231">
        <f t="shared" si="32"/>
        <v>0</v>
      </c>
    </row>
    <row r="69" spans="1:50" ht="15" hidden="1" outlineLevel="1" x14ac:dyDescent="0.25">
      <c r="B69" s="1249" t="s">
        <v>790</v>
      </c>
      <c r="C69" s="1225"/>
      <c r="D69" s="1225"/>
      <c r="E69" s="1225"/>
      <c r="F69" s="1225"/>
      <c r="G69" s="1226"/>
      <c r="H69" s="1226">
        <v>0</v>
      </c>
      <c r="I69" s="1226">
        <v>0</v>
      </c>
      <c r="J69" s="1226">
        <v>0</v>
      </c>
      <c r="K69" s="1226">
        <v>0</v>
      </c>
      <c r="L69" s="1226">
        <v>0</v>
      </c>
      <c r="M69" s="1226">
        <v>0</v>
      </c>
      <c r="N69" s="1226">
        <v>0</v>
      </c>
      <c r="O69" s="1227">
        <f t="shared" si="30"/>
        <v>0</v>
      </c>
      <c r="P69" s="1223"/>
      <c r="Q69" s="1232"/>
      <c r="R69" s="1218" t="s">
        <v>791</v>
      </c>
      <c r="S69" s="1232"/>
      <c r="T69" s="1223"/>
      <c r="U69" s="1229" t="str">
        <f t="shared" si="31"/>
        <v/>
      </c>
      <c r="V69" s="1229" t="str">
        <f t="shared" si="31"/>
        <v/>
      </c>
      <c r="W69" s="1229" t="str">
        <f t="shared" si="31"/>
        <v/>
      </c>
      <c r="X69" s="1239">
        <v>45657</v>
      </c>
      <c r="Y69" s="1239">
        <v>46022</v>
      </c>
      <c r="Z69" s="1239">
        <v>46387</v>
      </c>
      <c r="AA69" s="1229" t="str">
        <f t="shared" si="31"/>
        <v/>
      </c>
      <c r="AB69" s="1229" t="str">
        <f t="shared" si="31"/>
        <v/>
      </c>
      <c r="AC69" s="1229" t="str">
        <f t="shared" si="31"/>
        <v/>
      </c>
      <c r="AD69" s="1229" t="str">
        <f t="shared" si="31"/>
        <v/>
      </c>
      <c r="AE69" s="1230">
        <f t="shared" si="24"/>
        <v>0</v>
      </c>
      <c r="AF69" s="1230">
        <f t="shared" si="24"/>
        <v>0</v>
      </c>
      <c r="AG69" s="1230">
        <f t="shared" si="24"/>
        <v>0</v>
      </c>
      <c r="AH69" s="1230">
        <f t="shared" si="24"/>
        <v>0</v>
      </c>
      <c r="AI69" s="1230">
        <f t="shared" si="24"/>
        <v>0</v>
      </c>
      <c r="AJ69" s="1230">
        <f t="shared" si="24"/>
        <v>0</v>
      </c>
      <c r="AK69" s="1230">
        <f t="shared" si="24"/>
        <v>0</v>
      </c>
      <c r="AL69" s="1230">
        <f t="shared" si="24"/>
        <v>0</v>
      </c>
      <c r="AM69" s="1230">
        <f t="shared" si="24"/>
        <v>0</v>
      </c>
      <c r="AN69" s="1230">
        <f t="shared" si="24"/>
        <v>0</v>
      </c>
      <c r="AO69" s="1231">
        <f t="shared" si="32"/>
        <v>0</v>
      </c>
      <c r="AP69" s="1231">
        <f t="shared" si="32"/>
        <v>0</v>
      </c>
      <c r="AQ69" s="1231">
        <f t="shared" si="32"/>
        <v>0</v>
      </c>
      <c r="AR69" s="1231">
        <f t="shared" si="32"/>
        <v>0</v>
      </c>
      <c r="AS69" s="1231">
        <f t="shared" si="32"/>
        <v>0</v>
      </c>
      <c r="AT69" s="1231">
        <f t="shared" si="32"/>
        <v>0</v>
      </c>
      <c r="AU69" s="1231">
        <f t="shared" si="32"/>
        <v>0</v>
      </c>
      <c r="AV69" s="1231">
        <f t="shared" si="32"/>
        <v>0</v>
      </c>
      <c r="AW69" s="1231">
        <f t="shared" si="32"/>
        <v>0</v>
      </c>
      <c r="AX69" s="1231">
        <f t="shared" si="32"/>
        <v>0</v>
      </c>
    </row>
    <row r="70" spans="1:50" ht="15" hidden="1" outlineLevel="1" x14ac:dyDescent="0.25">
      <c r="B70" s="1249" t="s">
        <v>792</v>
      </c>
      <c r="C70" s="1225"/>
      <c r="D70" s="1225"/>
      <c r="E70" s="1225"/>
      <c r="F70" s="1225"/>
      <c r="G70" s="1226"/>
      <c r="H70" s="1226">
        <v>0</v>
      </c>
      <c r="I70" s="1226">
        <v>0</v>
      </c>
      <c r="J70" s="1226">
        <v>0</v>
      </c>
      <c r="K70" s="1226">
        <v>0</v>
      </c>
      <c r="L70" s="1226">
        <v>0</v>
      </c>
      <c r="M70" s="1226">
        <v>0</v>
      </c>
      <c r="N70" s="1226">
        <v>0</v>
      </c>
      <c r="O70" s="1227">
        <f t="shared" si="30"/>
        <v>0</v>
      </c>
      <c r="P70" s="1223"/>
      <c r="Q70" s="1232"/>
      <c r="R70" s="1218" t="s">
        <v>785</v>
      </c>
      <c r="S70" s="1232"/>
      <c r="T70" s="1223"/>
      <c r="U70" s="1229" t="str">
        <f t="shared" si="31"/>
        <v/>
      </c>
      <c r="V70" s="1229" t="str">
        <f t="shared" si="31"/>
        <v/>
      </c>
      <c r="W70" s="1229" t="str">
        <f t="shared" si="31"/>
        <v/>
      </c>
      <c r="X70" s="1239">
        <v>45657</v>
      </c>
      <c r="Y70" s="1239">
        <v>46022</v>
      </c>
      <c r="Z70" s="1229" t="str">
        <f t="shared" si="31"/>
        <v/>
      </c>
      <c r="AA70" s="1229" t="str">
        <f t="shared" si="31"/>
        <v/>
      </c>
      <c r="AB70" s="1229" t="str">
        <f t="shared" si="31"/>
        <v/>
      </c>
      <c r="AC70" s="1229" t="str">
        <f t="shared" si="31"/>
        <v/>
      </c>
      <c r="AD70" s="1229" t="str">
        <f t="shared" si="31"/>
        <v/>
      </c>
      <c r="AE70" s="1230">
        <f t="shared" si="24"/>
        <v>0</v>
      </c>
      <c r="AF70" s="1230">
        <f t="shared" si="24"/>
        <v>0</v>
      </c>
      <c r="AG70" s="1230">
        <f t="shared" si="24"/>
        <v>0</v>
      </c>
      <c r="AH70" s="1230">
        <f t="shared" si="24"/>
        <v>0</v>
      </c>
      <c r="AI70" s="1230">
        <f t="shared" si="24"/>
        <v>0</v>
      </c>
      <c r="AJ70" s="1230">
        <f t="shared" si="24"/>
        <v>0</v>
      </c>
      <c r="AK70" s="1230">
        <f t="shared" si="24"/>
        <v>0</v>
      </c>
      <c r="AL70" s="1230">
        <f t="shared" si="24"/>
        <v>0</v>
      </c>
      <c r="AM70" s="1230">
        <f t="shared" si="24"/>
        <v>0</v>
      </c>
      <c r="AN70" s="1230">
        <f t="shared" si="24"/>
        <v>0</v>
      </c>
      <c r="AO70" s="1231">
        <f t="shared" si="32"/>
        <v>0</v>
      </c>
      <c r="AP70" s="1231">
        <f t="shared" si="32"/>
        <v>0</v>
      </c>
      <c r="AQ70" s="1231">
        <f t="shared" si="32"/>
        <v>0</v>
      </c>
      <c r="AR70" s="1231">
        <f t="shared" si="32"/>
        <v>0</v>
      </c>
      <c r="AS70" s="1231">
        <f t="shared" si="32"/>
        <v>0</v>
      </c>
      <c r="AT70" s="1231">
        <f t="shared" si="32"/>
        <v>0</v>
      </c>
      <c r="AU70" s="1231">
        <f t="shared" si="32"/>
        <v>0</v>
      </c>
      <c r="AV70" s="1231">
        <f t="shared" si="32"/>
        <v>0</v>
      </c>
      <c r="AW70" s="1231">
        <f t="shared" si="32"/>
        <v>0</v>
      </c>
      <c r="AX70" s="1231">
        <f t="shared" si="32"/>
        <v>0</v>
      </c>
    </row>
    <row r="71" spans="1:50" ht="15" hidden="1" outlineLevel="1" x14ac:dyDescent="0.25">
      <c r="B71" s="1249" t="s">
        <v>793</v>
      </c>
      <c r="C71" s="1225"/>
      <c r="D71" s="1225"/>
      <c r="E71" s="1225"/>
      <c r="F71" s="1225"/>
      <c r="G71" s="1225"/>
      <c r="H71" s="1226">
        <v>0</v>
      </c>
      <c r="I71" s="1226">
        <v>0</v>
      </c>
      <c r="J71" s="1226">
        <v>0</v>
      </c>
      <c r="K71" s="1226">
        <v>0</v>
      </c>
      <c r="L71" s="1226">
        <v>0</v>
      </c>
      <c r="M71" s="1226">
        <v>0</v>
      </c>
      <c r="N71" s="1226">
        <v>0</v>
      </c>
      <c r="O71" s="1227">
        <f t="shared" si="30"/>
        <v>0</v>
      </c>
      <c r="P71" s="1223"/>
      <c r="Q71" s="1232">
        <v>45657</v>
      </c>
      <c r="S71" s="1232"/>
      <c r="T71" s="1223"/>
      <c r="U71" s="1229" t="str">
        <f t="shared" si="31"/>
        <v/>
      </c>
      <c r="V71" s="1229" t="str">
        <f t="shared" si="31"/>
        <v/>
      </c>
      <c r="W71" s="1229" t="str">
        <f t="shared" si="31"/>
        <v/>
      </c>
      <c r="X71" s="1229">
        <f t="shared" si="31"/>
        <v>45657</v>
      </c>
      <c r="Y71" s="1229" t="str">
        <f t="shared" si="31"/>
        <v/>
      </c>
      <c r="Z71" s="1229" t="str">
        <f t="shared" si="31"/>
        <v/>
      </c>
      <c r="AA71" s="1229" t="str">
        <f t="shared" si="31"/>
        <v/>
      </c>
      <c r="AB71" s="1229" t="str">
        <f t="shared" si="31"/>
        <v/>
      </c>
      <c r="AC71" s="1229" t="str">
        <f t="shared" si="31"/>
        <v/>
      </c>
      <c r="AD71" s="1229" t="str">
        <f t="shared" si="31"/>
        <v/>
      </c>
      <c r="AE71" s="1230">
        <f t="shared" si="24"/>
        <v>0</v>
      </c>
      <c r="AF71" s="1230">
        <f t="shared" si="24"/>
        <v>0</v>
      </c>
      <c r="AG71" s="1230">
        <f t="shared" si="24"/>
        <v>0</v>
      </c>
      <c r="AH71" s="1230">
        <f t="shared" si="24"/>
        <v>0</v>
      </c>
      <c r="AI71" s="1230">
        <f t="shared" si="24"/>
        <v>0</v>
      </c>
      <c r="AJ71" s="1230">
        <f t="shared" si="24"/>
        <v>0</v>
      </c>
      <c r="AK71" s="1230">
        <f t="shared" si="24"/>
        <v>0</v>
      </c>
      <c r="AL71" s="1230">
        <f t="shared" si="24"/>
        <v>0</v>
      </c>
      <c r="AM71" s="1230">
        <f t="shared" si="24"/>
        <v>0</v>
      </c>
      <c r="AN71" s="1230">
        <f t="shared" si="24"/>
        <v>0</v>
      </c>
      <c r="AO71" s="1231">
        <f t="shared" si="32"/>
        <v>0</v>
      </c>
      <c r="AP71" s="1231">
        <f t="shared" si="32"/>
        <v>0</v>
      </c>
      <c r="AQ71" s="1231">
        <f t="shared" si="32"/>
        <v>0</v>
      </c>
      <c r="AR71" s="1231">
        <f t="shared" si="32"/>
        <v>0</v>
      </c>
      <c r="AS71" s="1231">
        <f t="shared" si="32"/>
        <v>0</v>
      </c>
      <c r="AT71" s="1231">
        <f t="shared" si="32"/>
        <v>0</v>
      </c>
      <c r="AU71" s="1231">
        <f t="shared" si="32"/>
        <v>0</v>
      </c>
      <c r="AV71" s="1231">
        <f t="shared" si="32"/>
        <v>0</v>
      </c>
      <c r="AW71" s="1231">
        <f t="shared" si="32"/>
        <v>0</v>
      </c>
      <c r="AX71" s="1231">
        <f t="shared" si="32"/>
        <v>0</v>
      </c>
    </row>
    <row r="72" spans="1:50" ht="15" hidden="1" outlineLevel="1" x14ac:dyDescent="0.25">
      <c r="B72" s="1249" t="s">
        <v>794</v>
      </c>
      <c r="C72" s="1225"/>
      <c r="D72" s="1225"/>
      <c r="E72" s="1225"/>
      <c r="F72" s="1225"/>
      <c r="G72" s="1225"/>
      <c r="H72" s="1226">
        <v>0</v>
      </c>
      <c r="I72" s="1226">
        <v>0</v>
      </c>
      <c r="J72" s="1226">
        <v>0</v>
      </c>
      <c r="K72" s="1226">
        <v>0</v>
      </c>
      <c r="L72" s="1226">
        <v>0</v>
      </c>
      <c r="M72" s="1226">
        <v>0</v>
      </c>
      <c r="N72" s="1226">
        <v>0</v>
      </c>
      <c r="O72" s="1227">
        <f t="shared" si="30"/>
        <v>0</v>
      </c>
      <c r="P72" s="1223"/>
      <c r="Q72" s="1232">
        <v>45657</v>
      </c>
      <c r="S72" s="1232"/>
      <c r="T72" s="1223"/>
      <c r="U72" s="1229" t="str">
        <f t="shared" si="31"/>
        <v/>
      </c>
      <c r="V72" s="1229" t="str">
        <f t="shared" si="31"/>
        <v/>
      </c>
      <c r="W72" s="1229" t="str">
        <f t="shared" si="31"/>
        <v/>
      </c>
      <c r="X72" s="1229">
        <f t="shared" si="31"/>
        <v>45657</v>
      </c>
      <c r="Y72" s="1229" t="str">
        <f t="shared" si="31"/>
        <v/>
      </c>
      <c r="Z72" s="1229" t="str">
        <f t="shared" si="31"/>
        <v/>
      </c>
      <c r="AA72" s="1229" t="str">
        <f t="shared" si="31"/>
        <v/>
      </c>
      <c r="AB72" s="1229" t="str">
        <f t="shared" si="31"/>
        <v/>
      </c>
      <c r="AC72" s="1229" t="str">
        <f t="shared" si="31"/>
        <v/>
      </c>
      <c r="AD72" s="1229" t="str">
        <f t="shared" si="31"/>
        <v/>
      </c>
      <c r="AE72" s="1230">
        <f t="shared" si="24"/>
        <v>0</v>
      </c>
      <c r="AF72" s="1230">
        <f t="shared" si="24"/>
        <v>0</v>
      </c>
      <c r="AG72" s="1230">
        <f t="shared" si="24"/>
        <v>0</v>
      </c>
      <c r="AH72" s="1230">
        <f>IF(X72="",,(DATE(AH$6,12,31)-X72)/365)</f>
        <v>0</v>
      </c>
      <c r="AI72" s="1230">
        <f t="shared" si="24"/>
        <v>0</v>
      </c>
      <c r="AJ72" s="1230">
        <f t="shared" si="24"/>
        <v>0</v>
      </c>
      <c r="AK72" s="1230">
        <f t="shared" si="24"/>
        <v>0</v>
      </c>
      <c r="AL72" s="1230">
        <f t="shared" si="24"/>
        <v>0</v>
      </c>
      <c r="AM72" s="1230">
        <f t="shared" si="24"/>
        <v>0</v>
      </c>
      <c r="AN72" s="1230">
        <f t="shared" si="24"/>
        <v>0</v>
      </c>
      <c r="AO72" s="1231">
        <f t="shared" si="32"/>
        <v>0</v>
      </c>
      <c r="AP72" s="1231">
        <f t="shared" si="32"/>
        <v>0</v>
      </c>
      <c r="AQ72" s="1231">
        <f t="shared" si="32"/>
        <v>0</v>
      </c>
      <c r="AR72" s="1231">
        <f t="shared" si="32"/>
        <v>0</v>
      </c>
      <c r="AS72" s="1231">
        <f t="shared" si="32"/>
        <v>0</v>
      </c>
      <c r="AT72" s="1231">
        <f t="shared" si="32"/>
        <v>0</v>
      </c>
      <c r="AU72" s="1231">
        <f t="shared" si="32"/>
        <v>0</v>
      </c>
      <c r="AV72" s="1231">
        <f t="shared" si="32"/>
        <v>0</v>
      </c>
      <c r="AW72" s="1231">
        <f t="shared" si="32"/>
        <v>0</v>
      </c>
      <c r="AX72" s="1231">
        <f t="shared" si="32"/>
        <v>0</v>
      </c>
    </row>
    <row r="73" spans="1:50" ht="15" hidden="1" outlineLevel="1" x14ac:dyDescent="0.25">
      <c r="B73" s="1249"/>
      <c r="C73" s="1250"/>
      <c r="D73" s="1251"/>
      <c r="E73" s="1251"/>
      <c r="F73" s="1251"/>
      <c r="G73" s="1251"/>
      <c r="H73" s="1251"/>
      <c r="I73" s="1251"/>
      <c r="J73" s="1251"/>
      <c r="K73" s="1251"/>
      <c r="L73" s="1251"/>
      <c r="M73" s="1251"/>
      <c r="N73" s="1251"/>
      <c r="O73" s="1227">
        <f t="shared" si="30"/>
        <v>0</v>
      </c>
      <c r="P73" s="1223"/>
      <c r="Q73" s="1232"/>
      <c r="R73" s="1218"/>
      <c r="S73" s="1232"/>
      <c r="T73" s="1223"/>
      <c r="U73" s="1238"/>
      <c r="V73" s="1229"/>
      <c r="W73" s="1229"/>
      <c r="X73" s="1229"/>
      <c r="Y73" s="1232"/>
      <c r="Z73" s="1238"/>
      <c r="AA73" s="1238"/>
      <c r="AB73" s="1238"/>
      <c r="AC73" s="1238"/>
      <c r="AD73" s="1238"/>
      <c r="AE73" s="1230">
        <f t="shared" si="24"/>
        <v>0</v>
      </c>
      <c r="AF73" s="1230">
        <f t="shared" si="24"/>
        <v>0</v>
      </c>
      <c r="AG73" s="1230">
        <f t="shared" si="24"/>
        <v>0</v>
      </c>
      <c r="AH73" s="1230">
        <f t="shared" si="24"/>
        <v>0</v>
      </c>
      <c r="AI73" s="1230">
        <f t="shared" si="24"/>
        <v>0</v>
      </c>
      <c r="AJ73" s="1230">
        <f t="shared" si="24"/>
        <v>0</v>
      </c>
      <c r="AK73" s="1230">
        <f t="shared" si="24"/>
        <v>0</v>
      </c>
      <c r="AL73" s="1230">
        <f t="shared" si="24"/>
        <v>0</v>
      </c>
      <c r="AM73" s="1230">
        <f t="shared" si="24"/>
        <v>0</v>
      </c>
      <c r="AN73" s="1230">
        <f t="shared" si="24"/>
        <v>0</v>
      </c>
    </row>
    <row r="74" spans="1:50" ht="15" hidden="1" outlineLevel="1" x14ac:dyDescent="0.25">
      <c r="B74" s="1249"/>
      <c r="C74" s="1250"/>
      <c r="D74" s="1251"/>
      <c r="E74" s="1251"/>
      <c r="F74" s="1251"/>
      <c r="G74" s="1251"/>
      <c r="H74" s="1251"/>
      <c r="I74" s="1251"/>
      <c r="J74" s="1251"/>
      <c r="K74" s="1251"/>
      <c r="L74" s="1251"/>
      <c r="M74" s="1251"/>
      <c r="N74" s="1251"/>
      <c r="O74" s="1227">
        <f t="shared" si="30"/>
        <v>0</v>
      </c>
      <c r="P74" s="1223"/>
      <c r="Q74" s="1232"/>
      <c r="R74" s="1218"/>
      <c r="S74" s="1232"/>
      <c r="T74" s="1223"/>
      <c r="U74" s="1238"/>
      <c r="V74" s="1229"/>
      <c r="W74" s="1229"/>
      <c r="X74" s="1238"/>
      <c r="Y74" s="1238"/>
      <c r="Z74" s="1238"/>
      <c r="AA74" s="1232"/>
      <c r="AB74" s="1238"/>
      <c r="AC74" s="1238"/>
      <c r="AD74" s="1238"/>
      <c r="AE74" s="1230">
        <f t="shared" si="24"/>
        <v>0</v>
      </c>
      <c r="AF74" s="1230">
        <f t="shared" si="24"/>
        <v>0</v>
      </c>
      <c r="AG74" s="1230">
        <f t="shared" si="24"/>
        <v>0</v>
      </c>
      <c r="AH74" s="1230">
        <f t="shared" si="24"/>
        <v>0</v>
      </c>
      <c r="AI74" s="1230">
        <f t="shared" si="24"/>
        <v>0</v>
      </c>
      <c r="AJ74" s="1230">
        <f t="shared" si="24"/>
        <v>0</v>
      </c>
      <c r="AK74" s="1230">
        <f t="shared" si="24"/>
        <v>0</v>
      </c>
      <c r="AL74" s="1230">
        <f t="shared" si="24"/>
        <v>0</v>
      </c>
      <c r="AM74" s="1230">
        <f t="shared" si="24"/>
        <v>0</v>
      </c>
      <c r="AN74" s="1230">
        <f t="shared" ref="AN74:AN137" si="33">IF(AD74="",,(DATE(AN$6,12,31)-AD74)/365)</f>
        <v>0</v>
      </c>
    </row>
    <row r="75" spans="1:50" ht="15" hidden="1" outlineLevel="1" x14ac:dyDescent="0.25">
      <c r="B75" s="1249"/>
      <c r="C75" s="1250"/>
      <c r="D75" s="1251"/>
      <c r="E75" s="1251"/>
      <c r="F75" s="1251"/>
      <c r="G75" s="1251"/>
      <c r="H75" s="1251"/>
      <c r="I75" s="1251"/>
      <c r="J75" s="1251"/>
      <c r="K75" s="1251"/>
      <c r="L75" s="1251"/>
      <c r="M75" s="1251"/>
      <c r="N75" s="1251"/>
      <c r="O75" s="1227">
        <f t="shared" si="30"/>
        <v>0</v>
      </c>
      <c r="P75" s="1223"/>
      <c r="Q75" s="1232"/>
      <c r="R75" s="1218"/>
      <c r="S75" s="1232"/>
      <c r="T75" s="1223"/>
      <c r="U75" s="1238"/>
      <c r="V75" s="1229"/>
      <c r="W75" s="1229"/>
      <c r="X75" s="1238"/>
      <c r="Y75" s="1238"/>
      <c r="Z75" s="1238"/>
      <c r="AA75" s="1238"/>
      <c r="AB75" s="1238"/>
      <c r="AC75" s="1238"/>
      <c r="AD75" s="1238"/>
      <c r="AE75" s="1230">
        <f t="shared" ref="AE75:AM103" si="34">IF(U75="",,(DATE(AE$6,12,31)-U75)/365)</f>
        <v>0</v>
      </c>
      <c r="AF75" s="1230">
        <f t="shared" si="34"/>
        <v>0</v>
      </c>
      <c r="AG75" s="1230">
        <f t="shared" si="34"/>
        <v>0</v>
      </c>
      <c r="AH75" s="1230">
        <f t="shared" si="34"/>
        <v>0</v>
      </c>
      <c r="AI75" s="1230">
        <f t="shared" si="34"/>
        <v>0</v>
      </c>
      <c r="AJ75" s="1230">
        <f t="shared" si="34"/>
        <v>0</v>
      </c>
      <c r="AK75" s="1230">
        <f t="shared" si="34"/>
        <v>0</v>
      </c>
      <c r="AL75" s="1230">
        <f t="shared" si="34"/>
        <v>0</v>
      </c>
      <c r="AM75" s="1230">
        <f t="shared" si="34"/>
        <v>0</v>
      </c>
      <c r="AN75" s="1230">
        <f t="shared" si="33"/>
        <v>0</v>
      </c>
    </row>
    <row r="76" spans="1:50" ht="15" hidden="1" outlineLevel="1" x14ac:dyDescent="0.25">
      <c r="B76" s="1249"/>
      <c r="C76" s="1250"/>
      <c r="D76" s="1251"/>
      <c r="E76" s="1251"/>
      <c r="F76" s="1251"/>
      <c r="G76" s="1251"/>
      <c r="H76" s="1251"/>
      <c r="I76" s="1251"/>
      <c r="J76" s="1251"/>
      <c r="K76" s="1251"/>
      <c r="L76" s="1251"/>
      <c r="M76" s="1251"/>
      <c r="N76" s="1251"/>
      <c r="O76" s="1227">
        <f t="shared" si="30"/>
        <v>0</v>
      </c>
      <c r="P76" s="1223"/>
      <c r="Q76" s="1232"/>
      <c r="R76" s="1218"/>
      <c r="S76" s="1232"/>
      <c r="T76" s="1223"/>
      <c r="U76" s="1238"/>
      <c r="V76" s="1229"/>
      <c r="W76" s="1229"/>
      <c r="X76" s="1238"/>
      <c r="Y76" s="1238"/>
      <c r="Z76" s="1232"/>
      <c r="AA76" s="1238"/>
      <c r="AB76" s="1238"/>
      <c r="AC76" s="1238"/>
      <c r="AD76" s="1238"/>
      <c r="AE76" s="1230">
        <f t="shared" si="34"/>
        <v>0</v>
      </c>
      <c r="AF76" s="1230">
        <f t="shared" si="34"/>
        <v>0</v>
      </c>
      <c r="AG76" s="1230">
        <f t="shared" si="34"/>
        <v>0</v>
      </c>
      <c r="AH76" s="1230">
        <f t="shared" si="34"/>
        <v>0</v>
      </c>
      <c r="AI76" s="1230">
        <f t="shared" si="34"/>
        <v>0</v>
      </c>
      <c r="AJ76" s="1230">
        <f t="shared" si="34"/>
        <v>0</v>
      </c>
      <c r="AK76" s="1230">
        <f t="shared" si="34"/>
        <v>0</v>
      </c>
      <c r="AL76" s="1230">
        <f t="shared" si="34"/>
        <v>0</v>
      </c>
      <c r="AM76" s="1230">
        <f t="shared" si="34"/>
        <v>0</v>
      </c>
      <c r="AN76" s="1230">
        <f t="shared" si="33"/>
        <v>0</v>
      </c>
    </row>
    <row r="77" spans="1:50" ht="15" hidden="1" outlineLevel="1" x14ac:dyDescent="0.25">
      <c r="B77" s="1249"/>
      <c r="C77" s="1250"/>
      <c r="D77" s="1251"/>
      <c r="E77" s="1252"/>
      <c r="F77" s="1252"/>
      <c r="G77" s="1252"/>
      <c r="H77" s="1252"/>
      <c r="I77" s="1252"/>
      <c r="J77" s="1252"/>
      <c r="K77" s="1252"/>
      <c r="L77" s="1252"/>
      <c r="M77" s="1251"/>
      <c r="N77" s="1251"/>
      <c r="O77" s="1227">
        <f t="shared" si="30"/>
        <v>0</v>
      </c>
      <c r="P77" s="1223"/>
      <c r="Q77" s="1232"/>
      <c r="R77" s="1218"/>
      <c r="S77" s="1232"/>
      <c r="T77" s="1223"/>
      <c r="U77" s="1238"/>
      <c r="V77" s="1229"/>
      <c r="W77" s="1229"/>
      <c r="X77" s="1238"/>
      <c r="Y77" s="1238"/>
      <c r="Z77" s="1232"/>
      <c r="AA77" s="1238"/>
      <c r="AB77" s="1238"/>
      <c r="AC77" s="1238"/>
      <c r="AD77" s="1238"/>
      <c r="AE77" s="1230">
        <f t="shared" si="34"/>
        <v>0</v>
      </c>
      <c r="AF77" s="1230">
        <f t="shared" si="34"/>
        <v>0</v>
      </c>
      <c r="AG77" s="1230">
        <f t="shared" si="34"/>
        <v>0</v>
      </c>
      <c r="AH77" s="1230">
        <f t="shared" si="34"/>
        <v>0</v>
      </c>
      <c r="AI77" s="1230">
        <f t="shared" si="34"/>
        <v>0</v>
      </c>
      <c r="AJ77" s="1230">
        <f t="shared" si="34"/>
        <v>0</v>
      </c>
      <c r="AK77" s="1230">
        <f t="shared" si="34"/>
        <v>0</v>
      </c>
      <c r="AL77" s="1230">
        <f t="shared" si="34"/>
        <v>0</v>
      </c>
      <c r="AM77" s="1230">
        <f t="shared" si="34"/>
        <v>0</v>
      </c>
      <c r="AN77" s="1230">
        <f t="shared" si="33"/>
        <v>0</v>
      </c>
    </row>
    <row r="78" spans="1:50" ht="15" hidden="1" outlineLevel="1" x14ac:dyDescent="0.25">
      <c r="B78" s="1249"/>
      <c r="C78" s="1250"/>
      <c r="D78" s="1251"/>
      <c r="E78" s="1252"/>
      <c r="F78" s="1252"/>
      <c r="G78" s="1252"/>
      <c r="H78" s="1252"/>
      <c r="I78" s="1252"/>
      <c r="J78" s="1252"/>
      <c r="K78" s="1252"/>
      <c r="L78" s="1252"/>
      <c r="M78" s="1251"/>
      <c r="N78" s="1251"/>
      <c r="O78" s="1227">
        <f t="shared" si="30"/>
        <v>0</v>
      </c>
      <c r="P78" s="1223"/>
      <c r="Q78" s="1232"/>
      <c r="R78" s="1218"/>
      <c r="S78" s="1232"/>
      <c r="T78" s="1223"/>
      <c r="U78" s="1238"/>
      <c r="V78" s="1229"/>
      <c r="W78" s="1229"/>
      <c r="X78" s="1238"/>
      <c r="Y78" s="1232"/>
      <c r="Z78" s="1238"/>
      <c r="AA78" s="1238"/>
      <c r="AB78" s="1238"/>
      <c r="AC78" s="1238"/>
      <c r="AD78" s="1238"/>
      <c r="AE78" s="1230">
        <f t="shared" si="34"/>
        <v>0</v>
      </c>
      <c r="AF78" s="1230">
        <f t="shared" si="34"/>
        <v>0</v>
      </c>
      <c r="AG78" s="1230">
        <f t="shared" si="34"/>
        <v>0</v>
      </c>
      <c r="AH78" s="1230">
        <f t="shared" si="34"/>
        <v>0</v>
      </c>
      <c r="AI78" s="1230">
        <f t="shared" si="34"/>
        <v>0</v>
      </c>
      <c r="AJ78" s="1230">
        <f t="shared" si="34"/>
        <v>0</v>
      </c>
      <c r="AK78" s="1230">
        <f t="shared" si="34"/>
        <v>0</v>
      </c>
      <c r="AL78" s="1230">
        <f t="shared" si="34"/>
        <v>0</v>
      </c>
      <c r="AM78" s="1230">
        <f t="shared" si="34"/>
        <v>0</v>
      </c>
      <c r="AN78" s="1230">
        <f t="shared" si="33"/>
        <v>0</v>
      </c>
    </row>
    <row r="79" spans="1:50" ht="15" hidden="1" outlineLevel="1" x14ac:dyDescent="0.25">
      <c r="B79" s="1249"/>
      <c r="C79" s="1250"/>
      <c r="D79" s="1251"/>
      <c r="E79" s="1252"/>
      <c r="F79" s="1252"/>
      <c r="G79" s="1252"/>
      <c r="H79" s="1252"/>
      <c r="I79" s="1252"/>
      <c r="J79" s="1252"/>
      <c r="K79" s="1252"/>
      <c r="L79" s="1252"/>
      <c r="M79" s="1251"/>
      <c r="N79" s="1251"/>
      <c r="O79" s="1227">
        <f t="shared" si="30"/>
        <v>0</v>
      </c>
      <c r="P79" s="1223"/>
      <c r="Q79" s="1232"/>
      <c r="R79" s="1218"/>
      <c r="S79" s="1232"/>
      <c r="T79" s="1223"/>
      <c r="U79" s="1238"/>
      <c r="V79" s="1229"/>
      <c r="W79" s="1229"/>
      <c r="X79" s="1238"/>
      <c r="Y79" s="1238"/>
      <c r="Z79" s="1238"/>
      <c r="AA79" s="1232"/>
      <c r="AB79" s="1238"/>
      <c r="AC79" s="1238"/>
      <c r="AD79" s="1238"/>
      <c r="AE79" s="1230">
        <f t="shared" si="34"/>
        <v>0</v>
      </c>
      <c r="AF79" s="1230">
        <f t="shared" si="34"/>
        <v>0</v>
      </c>
      <c r="AG79" s="1230">
        <f t="shared" si="34"/>
        <v>0</v>
      </c>
      <c r="AH79" s="1230">
        <f t="shared" si="34"/>
        <v>0</v>
      </c>
      <c r="AI79" s="1230">
        <f t="shared" si="34"/>
        <v>0</v>
      </c>
      <c r="AJ79" s="1230">
        <f t="shared" si="34"/>
        <v>0</v>
      </c>
      <c r="AK79" s="1230">
        <f t="shared" si="34"/>
        <v>0</v>
      </c>
      <c r="AL79" s="1230">
        <f t="shared" si="34"/>
        <v>0</v>
      </c>
      <c r="AM79" s="1230">
        <f t="shared" si="34"/>
        <v>0</v>
      </c>
      <c r="AN79" s="1230">
        <f t="shared" si="33"/>
        <v>0</v>
      </c>
    </row>
    <row r="80" spans="1:50" ht="15" hidden="1" outlineLevel="1" x14ac:dyDescent="0.25">
      <c r="A80" s="1218">
        <f>+A74+1</f>
        <v>1</v>
      </c>
      <c r="B80" s="1253"/>
      <c r="C80" s="1254"/>
      <c r="D80" s="1254"/>
      <c r="E80" s="1254"/>
      <c r="F80" s="1254"/>
      <c r="G80" s="1254"/>
      <c r="H80" s="1254"/>
      <c r="I80" s="1254"/>
      <c r="J80" s="1254"/>
      <c r="K80" s="1254"/>
      <c r="L80" s="1254"/>
      <c r="M80" s="1254"/>
      <c r="N80" s="1254"/>
      <c r="O80" s="1223">
        <f t="shared" si="29"/>
        <v>0</v>
      </c>
      <c r="P80" s="1223"/>
      <c r="Q80" s="1232"/>
      <c r="R80" s="1218"/>
      <c r="S80" s="1232"/>
      <c r="T80" s="1223"/>
      <c r="U80" s="1238"/>
      <c r="V80" s="1238"/>
      <c r="W80" s="1238"/>
      <c r="X80" s="1238"/>
      <c r="Y80" s="1238"/>
      <c r="Z80" s="1238"/>
      <c r="AA80" s="1238"/>
      <c r="AB80" s="1238"/>
      <c r="AC80" s="1238"/>
      <c r="AD80" s="1238"/>
      <c r="AE80" s="1230">
        <f t="shared" si="34"/>
        <v>0</v>
      </c>
      <c r="AF80" s="1230">
        <f t="shared" si="34"/>
        <v>0</v>
      </c>
      <c r="AG80" s="1230">
        <f t="shared" si="34"/>
        <v>0</v>
      </c>
      <c r="AH80" s="1230">
        <f t="shared" si="34"/>
        <v>0</v>
      </c>
      <c r="AI80" s="1230">
        <f t="shared" si="34"/>
        <v>0</v>
      </c>
      <c r="AJ80" s="1230">
        <f t="shared" si="34"/>
        <v>0</v>
      </c>
      <c r="AK80" s="1230">
        <f t="shared" si="34"/>
        <v>0</v>
      </c>
      <c r="AL80" s="1230">
        <f t="shared" si="34"/>
        <v>0</v>
      </c>
      <c r="AM80" s="1230">
        <f t="shared" si="34"/>
        <v>0</v>
      </c>
      <c r="AN80" s="1230">
        <f t="shared" si="33"/>
        <v>0</v>
      </c>
    </row>
    <row r="81" spans="1:50" s="1207" customFormat="1" ht="15" hidden="1" collapsed="1" x14ac:dyDescent="0.25">
      <c r="A81" s="1213">
        <f>+A80+1</f>
        <v>2</v>
      </c>
      <c r="B81" s="1204" t="s">
        <v>451</v>
      </c>
      <c r="C81" s="1216"/>
      <c r="D81" s="1216"/>
      <c r="E81" s="1216"/>
      <c r="F81" s="1216"/>
      <c r="G81" s="1216"/>
      <c r="H81" s="1216">
        <f t="shared" ref="H81:N81" si="35">H82+H130</f>
        <v>0</v>
      </c>
      <c r="I81" s="1216">
        <f t="shared" si="35"/>
        <v>0</v>
      </c>
      <c r="J81" s="1216">
        <f t="shared" si="35"/>
        <v>0</v>
      </c>
      <c r="K81" s="1216">
        <f t="shared" si="35"/>
        <v>0</v>
      </c>
      <c r="L81" s="1216">
        <f t="shared" si="35"/>
        <v>0</v>
      </c>
      <c r="M81" s="1216">
        <f t="shared" si="35"/>
        <v>0</v>
      </c>
      <c r="N81" s="1216">
        <f t="shared" si="35"/>
        <v>0</v>
      </c>
      <c r="O81" s="1216">
        <f t="shared" si="29"/>
        <v>0</v>
      </c>
      <c r="P81" s="1217"/>
      <c r="Q81" s="1244"/>
      <c r="S81" s="1244"/>
      <c r="T81" s="1217"/>
      <c r="AE81" s="1230">
        <f t="shared" si="34"/>
        <v>0</v>
      </c>
      <c r="AF81" s="1230">
        <f t="shared" si="34"/>
        <v>0</v>
      </c>
      <c r="AG81" s="1230">
        <f t="shared" si="34"/>
        <v>0</v>
      </c>
      <c r="AH81" s="1230">
        <f t="shared" si="34"/>
        <v>0</v>
      </c>
      <c r="AI81" s="1230">
        <f t="shared" si="34"/>
        <v>0</v>
      </c>
      <c r="AJ81" s="1230">
        <f t="shared" si="34"/>
        <v>0</v>
      </c>
      <c r="AK81" s="1230">
        <f t="shared" si="34"/>
        <v>0</v>
      </c>
      <c r="AL81" s="1230">
        <f t="shared" si="34"/>
        <v>0</v>
      </c>
      <c r="AM81" s="1230">
        <f t="shared" si="34"/>
        <v>0</v>
      </c>
      <c r="AN81" s="1230">
        <f t="shared" si="33"/>
        <v>0</v>
      </c>
    </row>
    <row r="82" spans="1:50" s="1260" customFormat="1" ht="15" hidden="1" x14ac:dyDescent="0.25">
      <c r="A82" s="1255">
        <f t="shared" ref="A82" si="36">+A81+1</f>
        <v>3</v>
      </c>
      <c r="B82" s="1256" t="s">
        <v>648</v>
      </c>
      <c r="C82" s="1257"/>
      <c r="D82" s="1257"/>
      <c r="E82" s="1257"/>
      <c r="F82" s="1257"/>
      <c r="G82" s="1257"/>
      <c r="H82" s="1257">
        <f t="shared" ref="H82:I82" si="37">+SUM(H83:H129)</f>
        <v>0</v>
      </c>
      <c r="I82" s="1257">
        <f t="shared" si="37"/>
        <v>0</v>
      </c>
      <c r="J82" s="1257">
        <f t="shared" ref="J82:N82" si="38">+SUM(J83:J116)</f>
        <v>0</v>
      </c>
      <c r="K82" s="1257">
        <f t="shared" si="38"/>
        <v>0</v>
      </c>
      <c r="L82" s="1257">
        <f t="shared" si="38"/>
        <v>0</v>
      </c>
      <c r="M82" s="1257">
        <f t="shared" si="38"/>
        <v>0</v>
      </c>
      <c r="N82" s="1257">
        <f t="shared" si="38"/>
        <v>0</v>
      </c>
      <c r="O82" s="1257">
        <f t="shared" si="29"/>
        <v>0</v>
      </c>
      <c r="P82" s="1258"/>
      <c r="Q82" s="1259"/>
      <c r="S82" s="1259"/>
      <c r="T82" s="1258"/>
      <c r="U82" s="1261"/>
      <c r="V82" s="1261"/>
      <c r="W82" s="1261"/>
      <c r="X82" s="1261"/>
      <c r="Y82" s="1261"/>
      <c r="Z82" s="1261"/>
      <c r="AA82" s="1261"/>
      <c r="AB82" s="1261"/>
      <c r="AC82" s="1261"/>
      <c r="AD82" s="1261"/>
      <c r="AE82" s="1230">
        <f t="shared" si="34"/>
        <v>0</v>
      </c>
      <c r="AF82" s="1230">
        <f t="shared" si="34"/>
        <v>0</v>
      </c>
      <c r="AG82" s="1230">
        <f t="shared" si="34"/>
        <v>0</v>
      </c>
      <c r="AH82" s="1230">
        <f t="shared" si="34"/>
        <v>0</v>
      </c>
      <c r="AI82" s="1230">
        <f t="shared" si="34"/>
        <v>0</v>
      </c>
      <c r="AJ82" s="1230">
        <f t="shared" si="34"/>
        <v>0</v>
      </c>
      <c r="AK82" s="1230">
        <f t="shared" si="34"/>
        <v>0</v>
      </c>
      <c r="AL82" s="1230">
        <f t="shared" si="34"/>
        <v>0</v>
      </c>
      <c r="AM82" s="1230">
        <f t="shared" si="34"/>
        <v>0</v>
      </c>
      <c r="AN82" s="1230">
        <f t="shared" si="33"/>
        <v>0</v>
      </c>
    </row>
    <row r="83" spans="1:50" ht="15" hidden="1" outlineLevel="1" x14ac:dyDescent="0.25">
      <c r="A83" s="1218">
        <v>12</v>
      </c>
      <c r="B83" s="1262" t="s">
        <v>795</v>
      </c>
      <c r="C83" s="1225"/>
      <c r="D83" s="1225"/>
      <c r="E83" s="1225"/>
      <c r="F83" s="1225"/>
      <c r="G83" s="1225"/>
      <c r="H83" s="1226">
        <v>0</v>
      </c>
      <c r="I83" s="1226">
        <v>0</v>
      </c>
      <c r="J83" s="1226">
        <v>0</v>
      </c>
      <c r="K83" s="1226">
        <v>0</v>
      </c>
      <c r="L83" s="1226">
        <v>0</v>
      </c>
      <c r="M83" s="1226">
        <v>0</v>
      </c>
      <c r="N83" s="1226">
        <v>0</v>
      </c>
      <c r="O83" s="1227">
        <f t="shared" ref="O83:O129" si="39">SUM(C83:N83)</f>
        <v>0</v>
      </c>
      <c r="P83" s="1223"/>
      <c r="Q83" s="1232">
        <v>44926</v>
      </c>
      <c r="R83" s="1218"/>
      <c r="S83" s="1232"/>
      <c r="T83" s="1223"/>
      <c r="U83" s="1229" t="str">
        <f t="shared" ref="U83:AD98" si="40">IF(U$6=YEAR($Q83),$Q83,"")</f>
        <v/>
      </c>
      <c r="V83" s="1229">
        <f t="shared" si="40"/>
        <v>44926</v>
      </c>
      <c r="W83" s="1229" t="str">
        <f t="shared" si="40"/>
        <v/>
      </c>
      <c r="X83" s="1229" t="str">
        <f t="shared" si="40"/>
        <v/>
      </c>
      <c r="Y83" s="1229" t="str">
        <f t="shared" si="40"/>
        <v/>
      </c>
      <c r="Z83" s="1229" t="str">
        <f t="shared" si="40"/>
        <v/>
      </c>
      <c r="AA83" s="1229" t="str">
        <f t="shared" si="40"/>
        <v/>
      </c>
      <c r="AB83" s="1229" t="str">
        <f t="shared" si="40"/>
        <v/>
      </c>
      <c r="AC83" s="1229" t="str">
        <f t="shared" si="40"/>
        <v/>
      </c>
      <c r="AD83" s="1229" t="str">
        <f t="shared" si="40"/>
        <v/>
      </c>
      <c r="AE83" s="1230">
        <f t="shared" si="34"/>
        <v>0</v>
      </c>
      <c r="AF83" s="1230">
        <f t="shared" si="34"/>
        <v>0</v>
      </c>
      <c r="AG83" s="1230">
        <f t="shared" si="34"/>
        <v>0</v>
      </c>
      <c r="AH83" s="1230">
        <f t="shared" si="34"/>
        <v>0</v>
      </c>
      <c r="AI83" s="1230">
        <f t="shared" si="34"/>
        <v>0</v>
      </c>
      <c r="AJ83" s="1230">
        <f t="shared" si="34"/>
        <v>0</v>
      </c>
      <c r="AK83" s="1230">
        <f t="shared" si="34"/>
        <v>0</v>
      </c>
      <c r="AL83" s="1230">
        <f t="shared" si="34"/>
        <v>0</v>
      </c>
      <c r="AM83" s="1230">
        <f t="shared" si="34"/>
        <v>0</v>
      </c>
      <c r="AN83" s="1230">
        <f t="shared" si="33"/>
        <v>0</v>
      </c>
      <c r="AO83" s="1231">
        <f t="shared" ref="AO83:AX108" si="41">AE83*E83</f>
        <v>0</v>
      </c>
      <c r="AP83" s="1231">
        <f t="shared" si="41"/>
        <v>0</v>
      </c>
      <c r="AQ83" s="1231">
        <f t="shared" si="41"/>
        <v>0</v>
      </c>
      <c r="AR83" s="1231">
        <f t="shared" si="41"/>
        <v>0</v>
      </c>
      <c r="AS83" s="1231">
        <f t="shared" si="41"/>
        <v>0</v>
      </c>
      <c r="AT83" s="1231">
        <f t="shared" si="41"/>
        <v>0</v>
      </c>
      <c r="AU83" s="1231">
        <f t="shared" si="41"/>
        <v>0</v>
      </c>
      <c r="AV83" s="1231">
        <f t="shared" si="41"/>
        <v>0</v>
      </c>
      <c r="AW83" s="1231">
        <f t="shared" si="41"/>
        <v>0</v>
      </c>
      <c r="AX83" s="1231">
        <f t="shared" si="41"/>
        <v>0</v>
      </c>
    </row>
    <row r="84" spans="1:50" ht="15" hidden="1" outlineLevel="1" x14ac:dyDescent="0.25">
      <c r="A84" s="1218">
        <v>13</v>
      </c>
      <c r="B84" s="1262" t="s">
        <v>796</v>
      </c>
      <c r="C84" s="1225"/>
      <c r="D84" s="1225"/>
      <c r="E84" s="1225"/>
      <c r="F84" s="1225"/>
      <c r="G84" s="1225"/>
      <c r="H84" s="1226">
        <v>0</v>
      </c>
      <c r="I84" s="1226">
        <v>0</v>
      </c>
      <c r="J84" s="1226">
        <v>0</v>
      </c>
      <c r="K84" s="1226">
        <v>0</v>
      </c>
      <c r="L84" s="1226">
        <v>0</v>
      </c>
      <c r="M84" s="1226">
        <v>0</v>
      </c>
      <c r="N84" s="1226">
        <v>0</v>
      </c>
      <c r="O84" s="1227">
        <f t="shared" si="39"/>
        <v>0</v>
      </c>
      <c r="P84" s="1223"/>
      <c r="Q84" s="1232">
        <v>44957</v>
      </c>
      <c r="R84" s="1218"/>
      <c r="S84" s="1232"/>
      <c r="T84" s="1223"/>
      <c r="U84" s="1229" t="str">
        <f t="shared" si="40"/>
        <v/>
      </c>
      <c r="V84" s="1229" t="str">
        <f t="shared" si="40"/>
        <v/>
      </c>
      <c r="W84" s="1229">
        <f t="shared" si="40"/>
        <v>44957</v>
      </c>
      <c r="X84" s="1229" t="str">
        <f t="shared" si="40"/>
        <v/>
      </c>
      <c r="Y84" s="1229" t="str">
        <f t="shared" si="40"/>
        <v/>
      </c>
      <c r="Z84" s="1229" t="str">
        <f t="shared" si="40"/>
        <v/>
      </c>
      <c r="AA84" s="1229" t="str">
        <f t="shared" si="40"/>
        <v/>
      </c>
      <c r="AB84" s="1229" t="str">
        <f t="shared" si="40"/>
        <v/>
      </c>
      <c r="AC84" s="1229" t="str">
        <f t="shared" si="40"/>
        <v/>
      </c>
      <c r="AD84" s="1229" t="str">
        <f t="shared" si="40"/>
        <v/>
      </c>
      <c r="AE84" s="1230">
        <f t="shared" si="34"/>
        <v>0</v>
      </c>
      <c r="AF84" s="1230">
        <f t="shared" si="34"/>
        <v>0</v>
      </c>
      <c r="AG84" s="1230">
        <f t="shared" si="34"/>
        <v>0.91506849315068495</v>
      </c>
      <c r="AH84" s="1230">
        <f t="shared" si="34"/>
        <v>0</v>
      </c>
      <c r="AI84" s="1230">
        <f t="shared" si="34"/>
        <v>0</v>
      </c>
      <c r="AJ84" s="1230">
        <f t="shared" si="34"/>
        <v>0</v>
      </c>
      <c r="AK84" s="1230">
        <f t="shared" si="34"/>
        <v>0</v>
      </c>
      <c r="AL84" s="1230">
        <f t="shared" si="34"/>
        <v>0</v>
      </c>
      <c r="AM84" s="1230">
        <f t="shared" si="34"/>
        <v>0</v>
      </c>
      <c r="AN84" s="1230">
        <f t="shared" si="33"/>
        <v>0</v>
      </c>
      <c r="AO84" s="1231">
        <f t="shared" si="41"/>
        <v>0</v>
      </c>
      <c r="AP84" s="1231">
        <f t="shared" si="41"/>
        <v>0</v>
      </c>
      <c r="AQ84" s="1231">
        <f t="shared" si="41"/>
        <v>0</v>
      </c>
      <c r="AR84" s="1231">
        <f t="shared" si="41"/>
        <v>0</v>
      </c>
      <c r="AS84" s="1231">
        <f t="shared" si="41"/>
        <v>0</v>
      </c>
      <c r="AT84" s="1231">
        <f t="shared" si="41"/>
        <v>0</v>
      </c>
      <c r="AU84" s="1231">
        <f t="shared" si="41"/>
        <v>0</v>
      </c>
      <c r="AV84" s="1231">
        <f t="shared" si="41"/>
        <v>0</v>
      </c>
      <c r="AW84" s="1231">
        <f t="shared" si="41"/>
        <v>0</v>
      </c>
      <c r="AX84" s="1231">
        <f t="shared" si="41"/>
        <v>0</v>
      </c>
    </row>
    <row r="85" spans="1:50" ht="15" hidden="1" outlineLevel="1" x14ac:dyDescent="0.25">
      <c r="A85" s="1218">
        <v>16</v>
      </c>
      <c r="B85" s="1262" t="s">
        <v>797</v>
      </c>
      <c r="C85" s="1225"/>
      <c r="D85" s="1225"/>
      <c r="E85" s="1225"/>
      <c r="F85" s="1225"/>
      <c r="G85" s="1225"/>
      <c r="H85" s="1226">
        <v>0</v>
      </c>
      <c r="I85" s="1226">
        <v>0</v>
      </c>
      <c r="J85" s="1226">
        <v>0</v>
      </c>
      <c r="K85" s="1226">
        <v>0</v>
      </c>
      <c r="L85" s="1226">
        <v>0</v>
      </c>
      <c r="M85" s="1226">
        <v>0</v>
      </c>
      <c r="N85" s="1226">
        <v>0</v>
      </c>
      <c r="O85" s="1227">
        <f t="shared" si="39"/>
        <v>0</v>
      </c>
      <c r="P85" s="1223"/>
      <c r="Q85" s="1232">
        <v>45291</v>
      </c>
      <c r="R85" s="1218"/>
      <c r="S85" s="1232"/>
      <c r="T85" s="1223"/>
      <c r="U85" s="1229" t="str">
        <f t="shared" si="40"/>
        <v/>
      </c>
      <c r="V85" s="1229" t="str">
        <f t="shared" si="40"/>
        <v/>
      </c>
      <c r="W85" s="1229">
        <f t="shared" si="40"/>
        <v>45291</v>
      </c>
      <c r="X85" s="1229" t="str">
        <f t="shared" si="40"/>
        <v/>
      </c>
      <c r="Y85" s="1229" t="str">
        <f t="shared" si="40"/>
        <v/>
      </c>
      <c r="Z85" s="1229" t="str">
        <f t="shared" si="40"/>
        <v/>
      </c>
      <c r="AA85" s="1229" t="str">
        <f t="shared" si="40"/>
        <v/>
      </c>
      <c r="AB85" s="1229" t="str">
        <f t="shared" si="40"/>
        <v/>
      </c>
      <c r="AC85" s="1229" t="str">
        <f t="shared" si="40"/>
        <v/>
      </c>
      <c r="AD85" s="1229" t="str">
        <f t="shared" si="40"/>
        <v/>
      </c>
      <c r="AE85" s="1230">
        <f t="shared" si="34"/>
        <v>0</v>
      </c>
      <c r="AF85" s="1230">
        <f t="shared" si="34"/>
        <v>0</v>
      </c>
      <c r="AG85" s="1230">
        <f t="shared" si="34"/>
        <v>0</v>
      </c>
      <c r="AH85" s="1230">
        <f t="shared" si="34"/>
        <v>0</v>
      </c>
      <c r="AI85" s="1230">
        <f t="shared" si="34"/>
        <v>0</v>
      </c>
      <c r="AJ85" s="1230">
        <f t="shared" si="34"/>
        <v>0</v>
      </c>
      <c r="AK85" s="1230">
        <f t="shared" si="34"/>
        <v>0</v>
      </c>
      <c r="AL85" s="1230">
        <f t="shared" si="34"/>
        <v>0</v>
      </c>
      <c r="AM85" s="1230">
        <f t="shared" si="34"/>
        <v>0</v>
      </c>
      <c r="AN85" s="1230">
        <f t="shared" si="33"/>
        <v>0</v>
      </c>
      <c r="AO85" s="1231">
        <f t="shared" si="41"/>
        <v>0</v>
      </c>
      <c r="AP85" s="1231">
        <f t="shared" si="41"/>
        <v>0</v>
      </c>
      <c r="AQ85" s="1231">
        <f t="shared" si="41"/>
        <v>0</v>
      </c>
      <c r="AR85" s="1231">
        <f t="shared" si="41"/>
        <v>0</v>
      </c>
      <c r="AS85" s="1231">
        <f t="shared" si="41"/>
        <v>0</v>
      </c>
      <c r="AT85" s="1231">
        <f t="shared" si="41"/>
        <v>0</v>
      </c>
      <c r="AU85" s="1231">
        <f t="shared" si="41"/>
        <v>0</v>
      </c>
      <c r="AV85" s="1231">
        <f t="shared" si="41"/>
        <v>0</v>
      </c>
      <c r="AW85" s="1231">
        <f t="shared" si="41"/>
        <v>0</v>
      </c>
      <c r="AX85" s="1231">
        <f t="shared" si="41"/>
        <v>0</v>
      </c>
    </row>
    <row r="86" spans="1:50" ht="15" hidden="1" outlineLevel="1" x14ac:dyDescent="0.25">
      <c r="B86" s="1262" t="s">
        <v>798</v>
      </c>
      <c r="C86" s="1225"/>
      <c r="D86" s="1225"/>
      <c r="E86" s="1225"/>
      <c r="F86" s="1225"/>
      <c r="G86" s="1225"/>
      <c r="H86" s="1226">
        <v>0</v>
      </c>
      <c r="I86" s="1226">
        <v>0</v>
      </c>
      <c r="J86" s="1226">
        <v>0</v>
      </c>
      <c r="K86" s="1226">
        <v>0</v>
      </c>
      <c r="L86" s="1226">
        <v>0</v>
      </c>
      <c r="M86" s="1226">
        <v>0</v>
      </c>
      <c r="N86" s="1226">
        <v>0</v>
      </c>
      <c r="O86" s="1227">
        <f t="shared" si="39"/>
        <v>0</v>
      </c>
      <c r="P86" s="1223"/>
      <c r="Q86" s="1232">
        <v>45291</v>
      </c>
      <c r="R86" s="1218"/>
      <c r="S86" s="1232"/>
      <c r="T86" s="1223"/>
      <c r="U86" s="1229" t="str">
        <f t="shared" si="40"/>
        <v/>
      </c>
      <c r="V86" s="1229" t="str">
        <f t="shared" si="40"/>
        <v/>
      </c>
      <c r="W86" s="1229">
        <f t="shared" si="40"/>
        <v>45291</v>
      </c>
      <c r="X86" s="1229" t="str">
        <f t="shared" si="40"/>
        <v/>
      </c>
      <c r="Y86" s="1229" t="str">
        <f t="shared" si="40"/>
        <v/>
      </c>
      <c r="Z86" s="1229" t="str">
        <f t="shared" si="40"/>
        <v/>
      </c>
      <c r="AA86" s="1229" t="str">
        <f t="shared" si="40"/>
        <v/>
      </c>
      <c r="AB86" s="1229" t="str">
        <f t="shared" si="40"/>
        <v/>
      </c>
      <c r="AC86" s="1229" t="str">
        <f t="shared" si="40"/>
        <v/>
      </c>
      <c r="AD86" s="1229" t="str">
        <f t="shared" si="40"/>
        <v/>
      </c>
      <c r="AE86" s="1230">
        <f t="shared" si="34"/>
        <v>0</v>
      </c>
      <c r="AF86" s="1230">
        <f t="shared" si="34"/>
        <v>0</v>
      </c>
      <c r="AG86" s="1230">
        <f t="shared" si="34"/>
        <v>0</v>
      </c>
      <c r="AH86" s="1230">
        <f t="shared" si="34"/>
        <v>0</v>
      </c>
      <c r="AI86" s="1230">
        <f t="shared" si="34"/>
        <v>0</v>
      </c>
      <c r="AJ86" s="1230">
        <f t="shared" si="34"/>
        <v>0</v>
      </c>
      <c r="AK86" s="1230">
        <f t="shared" si="34"/>
        <v>0</v>
      </c>
      <c r="AL86" s="1230">
        <f t="shared" si="34"/>
        <v>0</v>
      </c>
      <c r="AM86" s="1230">
        <f t="shared" si="34"/>
        <v>0</v>
      </c>
      <c r="AN86" s="1230">
        <f t="shared" si="33"/>
        <v>0</v>
      </c>
      <c r="AO86" s="1231">
        <f t="shared" si="41"/>
        <v>0</v>
      </c>
      <c r="AP86" s="1231">
        <f t="shared" si="41"/>
        <v>0</v>
      </c>
      <c r="AQ86" s="1231">
        <f t="shared" si="41"/>
        <v>0</v>
      </c>
      <c r="AR86" s="1231">
        <f t="shared" si="41"/>
        <v>0</v>
      </c>
      <c r="AS86" s="1231">
        <f t="shared" si="41"/>
        <v>0</v>
      </c>
      <c r="AT86" s="1231">
        <f t="shared" si="41"/>
        <v>0</v>
      </c>
      <c r="AU86" s="1231">
        <f t="shared" si="41"/>
        <v>0</v>
      </c>
      <c r="AV86" s="1231">
        <f t="shared" si="41"/>
        <v>0</v>
      </c>
      <c r="AW86" s="1231">
        <f t="shared" si="41"/>
        <v>0</v>
      </c>
      <c r="AX86" s="1231">
        <f t="shared" si="41"/>
        <v>0</v>
      </c>
    </row>
    <row r="87" spans="1:50" ht="15" hidden="1" outlineLevel="1" x14ac:dyDescent="0.25">
      <c r="B87" s="1262" t="s">
        <v>799</v>
      </c>
      <c r="C87" s="1225"/>
      <c r="D87" s="1225"/>
      <c r="E87" s="1225"/>
      <c r="F87" s="1225"/>
      <c r="G87" s="1225"/>
      <c r="H87" s="1226">
        <v>0</v>
      </c>
      <c r="I87" s="1226">
        <v>0</v>
      </c>
      <c r="J87" s="1226">
        <v>0</v>
      </c>
      <c r="K87" s="1226">
        <v>0</v>
      </c>
      <c r="L87" s="1226">
        <v>0</v>
      </c>
      <c r="M87" s="1226">
        <v>0</v>
      </c>
      <c r="N87" s="1226">
        <v>0</v>
      </c>
      <c r="O87" s="1227">
        <f t="shared" si="39"/>
        <v>0</v>
      </c>
      <c r="P87" s="1223"/>
      <c r="Q87" s="1232">
        <v>45657</v>
      </c>
      <c r="R87" s="1218"/>
      <c r="S87" s="1232"/>
      <c r="T87" s="1223"/>
      <c r="U87" s="1229" t="str">
        <f t="shared" si="40"/>
        <v/>
      </c>
      <c r="V87" s="1229" t="str">
        <f t="shared" si="40"/>
        <v/>
      </c>
      <c r="W87" s="1229" t="str">
        <f t="shared" si="40"/>
        <v/>
      </c>
      <c r="X87" s="1229">
        <f t="shared" si="40"/>
        <v>45657</v>
      </c>
      <c r="Y87" s="1229" t="str">
        <f t="shared" si="40"/>
        <v/>
      </c>
      <c r="Z87" s="1229" t="str">
        <f t="shared" si="40"/>
        <v/>
      </c>
      <c r="AA87" s="1229" t="str">
        <f t="shared" si="40"/>
        <v/>
      </c>
      <c r="AB87" s="1229" t="str">
        <f t="shared" si="40"/>
        <v/>
      </c>
      <c r="AC87" s="1229" t="str">
        <f t="shared" si="40"/>
        <v/>
      </c>
      <c r="AD87" s="1229" t="str">
        <f t="shared" si="40"/>
        <v/>
      </c>
      <c r="AE87" s="1230">
        <f t="shared" si="34"/>
        <v>0</v>
      </c>
      <c r="AF87" s="1230">
        <f t="shared" si="34"/>
        <v>0</v>
      </c>
      <c r="AG87" s="1230">
        <f t="shared" si="34"/>
        <v>0</v>
      </c>
      <c r="AH87" s="1230">
        <f t="shared" si="34"/>
        <v>0</v>
      </c>
      <c r="AI87" s="1230">
        <f t="shared" si="34"/>
        <v>0</v>
      </c>
      <c r="AJ87" s="1230">
        <f t="shared" si="34"/>
        <v>0</v>
      </c>
      <c r="AK87" s="1230">
        <f t="shared" si="34"/>
        <v>0</v>
      </c>
      <c r="AL87" s="1230">
        <f t="shared" si="34"/>
        <v>0</v>
      </c>
      <c r="AM87" s="1230">
        <f t="shared" si="34"/>
        <v>0</v>
      </c>
      <c r="AN87" s="1230">
        <f t="shared" si="33"/>
        <v>0</v>
      </c>
      <c r="AO87" s="1231">
        <f t="shared" si="41"/>
        <v>0</v>
      </c>
      <c r="AP87" s="1231">
        <f t="shared" si="41"/>
        <v>0</v>
      </c>
      <c r="AQ87" s="1231">
        <f t="shared" si="41"/>
        <v>0</v>
      </c>
      <c r="AR87" s="1231">
        <f t="shared" si="41"/>
        <v>0</v>
      </c>
      <c r="AS87" s="1231">
        <f t="shared" si="41"/>
        <v>0</v>
      </c>
      <c r="AT87" s="1231">
        <f t="shared" si="41"/>
        <v>0</v>
      </c>
      <c r="AU87" s="1231">
        <f t="shared" si="41"/>
        <v>0</v>
      </c>
      <c r="AV87" s="1231">
        <f t="shared" si="41"/>
        <v>0</v>
      </c>
      <c r="AW87" s="1231">
        <f t="shared" si="41"/>
        <v>0</v>
      </c>
      <c r="AX87" s="1231">
        <f t="shared" si="41"/>
        <v>0</v>
      </c>
    </row>
    <row r="88" spans="1:50" ht="15" hidden="1" outlineLevel="1" x14ac:dyDescent="0.25">
      <c r="B88" s="1262" t="s">
        <v>800</v>
      </c>
      <c r="C88" s="1225"/>
      <c r="D88" s="1225"/>
      <c r="E88" s="1225"/>
      <c r="F88" s="1225"/>
      <c r="G88" s="1225"/>
      <c r="H88" s="1226">
        <v>0</v>
      </c>
      <c r="I88" s="1226">
        <v>0</v>
      </c>
      <c r="J88" s="1226">
        <v>0</v>
      </c>
      <c r="K88" s="1226">
        <v>0</v>
      </c>
      <c r="L88" s="1226">
        <v>0</v>
      </c>
      <c r="M88" s="1226">
        <v>0</v>
      </c>
      <c r="N88" s="1226">
        <v>0</v>
      </c>
      <c r="O88" s="1227">
        <f t="shared" si="39"/>
        <v>0</v>
      </c>
      <c r="P88" s="1223"/>
      <c r="Q88" s="1232">
        <v>45657</v>
      </c>
      <c r="R88" s="1218"/>
      <c r="S88" s="1232"/>
      <c r="T88" s="1223"/>
      <c r="U88" s="1229" t="str">
        <f t="shared" si="40"/>
        <v/>
      </c>
      <c r="V88" s="1229" t="str">
        <f t="shared" si="40"/>
        <v/>
      </c>
      <c r="W88" s="1229" t="str">
        <f t="shared" si="40"/>
        <v/>
      </c>
      <c r="X88" s="1229">
        <f t="shared" si="40"/>
        <v>45657</v>
      </c>
      <c r="Y88" s="1229" t="str">
        <f t="shared" si="40"/>
        <v/>
      </c>
      <c r="Z88" s="1229" t="str">
        <f t="shared" si="40"/>
        <v/>
      </c>
      <c r="AA88" s="1229" t="str">
        <f t="shared" si="40"/>
        <v/>
      </c>
      <c r="AB88" s="1229" t="str">
        <f t="shared" si="40"/>
        <v/>
      </c>
      <c r="AC88" s="1229" t="str">
        <f t="shared" si="40"/>
        <v/>
      </c>
      <c r="AD88" s="1229" t="str">
        <f t="shared" si="40"/>
        <v/>
      </c>
      <c r="AE88" s="1230">
        <f t="shared" si="34"/>
        <v>0</v>
      </c>
      <c r="AF88" s="1230">
        <f t="shared" si="34"/>
        <v>0</v>
      </c>
      <c r="AG88" s="1230">
        <f t="shared" si="34"/>
        <v>0</v>
      </c>
      <c r="AH88" s="1230">
        <f t="shared" si="34"/>
        <v>0</v>
      </c>
      <c r="AI88" s="1230">
        <f t="shared" si="34"/>
        <v>0</v>
      </c>
      <c r="AJ88" s="1230">
        <f t="shared" si="34"/>
        <v>0</v>
      </c>
      <c r="AK88" s="1230">
        <f t="shared" si="34"/>
        <v>0</v>
      </c>
      <c r="AL88" s="1230">
        <f t="shared" si="34"/>
        <v>0</v>
      </c>
      <c r="AM88" s="1230">
        <f t="shared" si="34"/>
        <v>0</v>
      </c>
      <c r="AN88" s="1230">
        <f t="shared" si="33"/>
        <v>0</v>
      </c>
      <c r="AO88" s="1231">
        <f t="shared" si="41"/>
        <v>0</v>
      </c>
      <c r="AP88" s="1231">
        <f t="shared" si="41"/>
        <v>0</v>
      </c>
      <c r="AQ88" s="1231">
        <f t="shared" si="41"/>
        <v>0</v>
      </c>
      <c r="AR88" s="1231">
        <f t="shared" si="41"/>
        <v>0</v>
      </c>
      <c r="AS88" s="1231">
        <f t="shared" si="41"/>
        <v>0</v>
      </c>
      <c r="AT88" s="1231">
        <f t="shared" si="41"/>
        <v>0</v>
      </c>
      <c r="AU88" s="1231">
        <f t="shared" si="41"/>
        <v>0</v>
      </c>
      <c r="AV88" s="1231">
        <f t="shared" si="41"/>
        <v>0</v>
      </c>
      <c r="AW88" s="1231">
        <f t="shared" si="41"/>
        <v>0</v>
      </c>
      <c r="AX88" s="1231">
        <f t="shared" si="41"/>
        <v>0</v>
      </c>
    </row>
    <row r="89" spans="1:50" ht="15" hidden="1" outlineLevel="1" x14ac:dyDescent="0.25">
      <c r="B89" s="1263" t="s">
        <v>801</v>
      </c>
      <c r="C89" s="1225"/>
      <c r="D89" s="1225"/>
      <c r="E89" s="1225"/>
      <c r="F89" s="1225"/>
      <c r="G89" s="1225"/>
      <c r="H89" s="1226">
        <v>0</v>
      </c>
      <c r="I89" s="1226">
        <v>0</v>
      </c>
      <c r="J89" s="1226">
        <v>0</v>
      </c>
      <c r="K89" s="1226">
        <v>0</v>
      </c>
      <c r="L89" s="1226">
        <v>0</v>
      </c>
      <c r="M89" s="1226">
        <v>0</v>
      </c>
      <c r="N89" s="1226">
        <v>0</v>
      </c>
      <c r="O89" s="1227">
        <f t="shared" si="39"/>
        <v>0</v>
      </c>
      <c r="P89" s="1223"/>
      <c r="Q89" s="1232">
        <v>45657</v>
      </c>
      <c r="R89" s="1218"/>
      <c r="S89" s="1232"/>
      <c r="T89" s="1223"/>
      <c r="U89" s="1229" t="str">
        <f t="shared" si="40"/>
        <v/>
      </c>
      <c r="V89" s="1229" t="str">
        <f t="shared" si="40"/>
        <v/>
      </c>
      <c r="W89" s="1229" t="str">
        <f t="shared" si="40"/>
        <v/>
      </c>
      <c r="X89" s="1229">
        <f t="shared" si="40"/>
        <v>45657</v>
      </c>
      <c r="Y89" s="1229" t="str">
        <f t="shared" si="40"/>
        <v/>
      </c>
      <c r="Z89" s="1229" t="str">
        <f t="shared" si="40"/>
        <v/>
      </c>
      <c r="AA89" s="1229" t="str">
        <f t="shared" si="40"/>
        <v/>
      </c>
      <c r="AB89" s="1229" t="str">
        <f t="shared" si="40"/>
        <v/>
      </c>
      <c r="AC89" s="1229" t="str">
        <f t="shared" si="40"/>
        <v/>
      </c>
      <c r="AD89" s="1229" t="str">
        <f t="shared" si="40"/>
        <v/>
      </c>
      <c r="AE89" s="1230">
        <f t="shared" si="34"/>
        <v>0</v>
      </c>
      <c r="AF89" s="1230">
        <f t="shared" si="34"/>
        <v>0</v>
      </c>
      <c r="AG89" s="1230">
        <f t="shared" si="34"/>
        <v>0</v>
      </c>
      <c r="AH89" s="1230">
        <f t="shared" si="34"/>
        <v>0</v>
      </c>
      <c r="AI89" s="1230">
        <f t="shared" si="34"/>
        <v>0</v>
      </c>
      <c r="AJ89" s="1230">
        <f t="shared" si="34"/>
        <v>0</v>
      </c>
      <c r="AK89" s="1230">
        <f t="shared" si="34"/>
        <v>0</v>
      </c>
      <c r="AL89" s="1230">
        <f t="shared" si="34"/>
        <v>0</v>
      </c>
      <c r="AM89" s="1230">
        <f t="shared" si="34"/>
        <v>0</v>
      </c>
      <c r="AN89" s="1230">
        <f t="shared" si="33"/>
        <v>0</v>
      </c>
      <c r="AO89" s="1231">
        <f t="shared" si="41"/>
        <v>0</v>
      </c>
      <c r="AP89" s="1231">
        <f t="shared" si="41"/>
        <v>0</v>
      </c>
      <c r="AQ89" s="1231">
        <f t="shared" si="41"/>
        <v>0</v>
      </c>
      <c r="AR89" s="1231">
        <f t="shared" si="41"/>
        <v>0</v>
      </c>
      <c r="AS89" s="1231">
        <f t="shared" si="41"/>
        <v>0</v>
      </c>
      <c r="AT89" s="1231">
        <f t="shared" si="41"/>
        <v>0</v>
      </c>
      <c r="AU89" s="1231">
        <f t="shared" si="41"/>
        <v>0</v>
      </c>
      <c r="AV89" s="1231">
        <f t="shared" si="41"/>
        <v>0</v>
      </c>
      <c r="AW89" s="1231">
        <f t="shared" si="41"/>
        <v>0</v>
      </c>
      <c r="AX89" s="1231">
        <f t="shared" si="41"/>
        <v>0</v>
      </c>
    </row>
    <row r="90" spans="1:50" ht="15" hidden="1" outlineLevel="1" x14ac:dyDescent="0.25">
      <c r="B90" s="1263" t="s">
        <v>802</v>
      </c>
      <c r="C90" s="1225"/>
      <c r="D90" s="1225"/>
      <c r="E90" s="1225"/>
      <c r="F90" s="1225"/>
      <c r="G90" s="1225"/>
      <c r="H90" s="1226">
        <v>0</v>
      </c>
      <c r="I90" s="1226">
        <v>0</v>
      </c>
      <c r="J90" s="1226">
        <v>0</v>
      </c>
      <c r="K90" s="1226">
        <v>0</v>
      </c>
      <c r="L90" s="1226">
        <v>0</v>
      </c>
      <c r="M90" s="1226">
        <v>0</v>
      </c>
      <c r="N90" s="1226">
        <v>0</v>
      </c>
      <c r="O90" s="1227">
        <f t="shared" si="39"/>
        <v>0</v>
      </c>
      <c r="P90" s="1223"/>
      <c r="Q90" s="1232">
        <v>45657</v>
      </c>
      <c r="R90" s="1218"/>
      <c r="S90" s="1232"/>
      <c r="T90" s="1223"/>
      <c r="U90" s="1229" t="str">
        <f t="shared" si="40"/>
        <v/>
      </c>
      <c r="V90" s="1229" t="str">
        <f t="shared" si="40"/>
        <v/>
      </c>
      <c r="W90" s="1229" t="str">
        <f t="shared" si="40"/>
        <v/>
      </c>
      <c r="X90" s="1229">
        <f t="shared" si="40"/>
        <v>45657</v>
      </c>
      <c r="Y90" s="1229" t="str">
        <f t="shared" si="40"/>
        <v/>
      </c>
      <c r="Z90" s="1229" t="str">
        <f t="shared" si="40"/>
        <v/>
      </c>
      <c r="AA90" s="1229" t="str">
        <f t="shared" si="40"/>
        <v/>
      </c>
      <c r="AB90" s="1229" t="str">
        <f t="shared" si="40"/>
        <v/>
      </c>
      <c r="AC90" s="1229" t="str">
        <f t="shared" si="40"/>
        <v/>
      </c>
      <c r="AD90" s="1229" t="str">
        <f t="shared" si="40"/>
        <v/>
      </c>
      <c r="AE90" s="1230">
        <f t="shared" si="34"/>
        <v>0</v>
      </c>
      <c r="AF90" s="1230">
        <f t="shared" si="34"/>
        <v>0</v>
      </c>
      <c r="AG90" s="1230">
        <f t="shared" si="34"/>
        <v>0</v>
      </c>
      <c r="AH90" s="1230">
        <f t="shared" si="34"/>
        <v>0</v>
      </c>
      <c r="AI90" s="1230">
        <f t="shared" si="34"/>
        <v>0</v>
      </c>
      <c r="AJ90" s="1230">
        <f t="shared" si="34"/>
        <v>0</v>
      </c>
      <c r="AK90" s="1230">
        <f t="shared" si="34"/>
        <v>0</v>
      </c>
      <c r="AL90" s="1230">
        <f t="shared" si="34"/>
        <v>0</v>
      </c>
      <c r="AM90" s="1230">
        <f t="shared" si="34"/>
        <v>0</v>
      </c>
      <c r="AN90" s="1230">
        <f t="shared" si="33"/>
        <v>0</v>
      </c>
      <c r="AO90" s="1231">
        <f t="shared" si="41"/>
        <v>0</v>
      </c>
      <c r="AP90" s="1231">
        <f t="shared" si="41"/>
        <v>0</v>
      </c>
      <c r="AQ90" s="1231">
        <f t="shared" si="41"/>
        <v>0</v>
      </c>
      <c r="AR90" s="1231">
        <f t="shared" si="41"/>
        <v>0</v>
      </c>
      <c r="AS90" s="1231">
        <f t="shared" si="41"/>
        <v>0</v>
      </c>
      <c r="AT90" s="1231">
        <f t="shared" si="41"/>
        <v>0</v>
      </c>
      <c r="AU90" s="1231">
        <f t="shared" si="41"/>
        <v>0</v>
      </c>
      <c r="AV90" s="1231">
        <f t="shared" si="41"/>
        <v>0</v>
      </c>
      <c r="AW90" s="1231">
        <f t="shared" si="41"/>
        <v>0</v>
      </c>
      <c r="AX90" s="1231">
        <f t="shared" si="41"/>
        <v>0</v>
      </c>
    </row>
    <row r="91" spans="1:50" ht="15" hidden="1" outlineLevel="1" x14ac:dyDescent="0.25">
      <c r="B91" s="1262" t="s">
        <v>803</v>
      </c>
      <c r="C91" s="1225"/>
      <c r="D91" s="1225"/>
      <c r="E91" s="1225"/>
      <c r="F91" s="1225"/>
      <c r="G91" s="1225"/>
      <c r="H91" s="1226">
        <v>0</v>
      </c>
      <c r="I91" s="1226">
        <v>0</v>
      </c>
      <c r="J91" s="1226">
        <v>0</v>
      </c>
      <c r="K91" s="1226">
        <v>0</v>
      </c>
      <c r="L91" s="1226">
        <v>0</v>
      </c>
      <c r="M91" s="1226">
        <v>0</v>
      </c>
      <c r="N91" s="1226">
        <v>0</v>
      </c>
      <c r="O91" s="1227">
        <f t="shared" si="39"/>
        <v>0</v>
      </c>
      <c r="P91" s="1223"/>
      <c r="Q91" s="1232">
        <v>45657</v>
      </c>
      <c r="R91" s="1218"/>
      <c r="S91" s="1232"/>
      <c r="T91" s="1223"/>
      <c r="U91" s="1229" t="str">
        <f t="shared" si="40"/>
        <v/>
      </c>
      <c r="V91" s="1229" t="str">
        <f t="shared" si="40"/>
        <v/>
      </c>
      <c r="W91" s="1229" t="str">
        <f t="shared" si="40"/>
        <v/>
      </c>
      <c r="X91" s="1229">
        <f t="shared" si="40"/>
        <v>45657</v>
      </c>
      <c r="Y91" s="1229" t="str">
        <f t="shared" si="40"/>
        <v/>
      </c>
      <c r="Z91" s="1229" t="str">
        <f t="shared" si="40"/>
        <v/>
      </c>
      <c r="AA91" s="1229" t="str">
        <f t="shared" si="40"/>
        <v/>
      </c>
      <c r="AB91" s="1229" t="str">
        <f t="shared" si="40"/>
        <v/>
      </c>
      <c r="AC91" s="1229" t="str">
        <f t="shared" si="40"/>
        <v/>
      </c>
      <c r="AD91" s="1229" t="str">
        <f t="shared" si="40"/>
        <v/>
      </c>
      <c r="AE91" s="1230">
        <f t="shared" si="34"/>
        <v>0</v>
      </c>
      <c r="AF91" s="1230">
        <f t="shared" si="34"/>
        <v>0</v>
      </c>
      <c r="AG91" s="1230">
        <f t="shared" si="34"/>
        <v>0</v>
      </c>
      <c r="AH91" s="1230">
        <f t="shared" si="34"/>
        <v>0</v>
      </c>
      <c r="AI91" s="1230">
        <f t="shared" si="34"/>
        <v>0</v>
      </c>
      <c r="AJ91" s="1230">
        <f t="shared" si="34"/>
        <v>0</v>
      </c>
      <c r="AK91" s="1230">
        <f t="shared" si="34"/>
        <v>0</v>
      </c>
      <c r="AL91" s="1230">
        <f t="shared" si="34"/>
        <v>0</v>
      </c>
      <c r="AM91" s="1230">
        <f t="shared" si="34"/>
        <v>0</v>
      </c>
      <c r="AN91" s="1230">
        <f t="shared" si="33"/>
        <v>0</v>
      </c>
      <c r="AO91" s="1231">
        <f t="shared" si="41"/>
        <v>0</v>
      </c>
      <c r="AP91" s="1231">
        <f t="shared" si="41"/>
        <v>0</v>
      </c>
      <c r="AQ91" s="1231">
        <f t="shared" si="41"/>
        <v>0</v>
      </c>
      <c r="AR91" s="1231">
        <f t="shared" si="41"/>
        <v>0</v>
      </c>
      <c r="AS91" s="1231">
        <f t="shared" si="41"/>
        <v>0</v>
      </c>
      <c r="AT91" s="1231">
        <f t="shared" si="41"/>
        <v>0</v>
      </c>
      <c r="AU91" s="1231">
        <f t="shared" si="41"/>
        <v>0</v>
      </c>
      <c r="AV91" s="1231">
        <f t="shared" si="41"/>
        <v>0</v>
      </c>
      <c r="AW91" s="1231">
        <f t="shared" si="41"/>
        <v>0</v>
      </c>
      <c r="AX91" s="1231">
        <f t="shared" si="41"/>
        <v>0</v>
      </c>
    </row>
    <row r="92" spans="1:50" ht="15" hidden="1" outlineLevel="1" x14ac:dyDescent="0.25">
      <c r="B92" s="1263" t="s">
        <v>804</v>
      </c>
      <c r="C92" s="1225"/>
      <c r="D92" s="1225"/>
      <c r="E92" s="1225"/>
      <c r="F92" s="1225"/>
      <c r="G92" s="1225"/>
      <c r="H92" s="1226">
        <v>0</v>
      </c>
      <c r="I92" s="1226">
        <v>0</v>
      </c>
      <c r="J92" s="1226">
        <v>0</v>
      </c>
      <c r="K92" s="1226">
        <v>0</v>
      </c>
      <c r="L92" s="1226">
        <v>0</v>
      </c>
      <c r="M92" s="1226">
        <v>0</v>
      </c>
      <c r="N92" s="1226">
        <v>0</v>
      </c>
      <c r="O92" s="1227">
        <f t="shared" si="39"/>
        <v>0</v>
      </c>
      <c r="P92" s="1223"/>
      <c r="Q92" s="1232">
        <v>45657</v>
      </c>
      <c r="R92" s="1218"/>
      <c r="S92" s="1232"/>
      <c r="T92" s="1223"/>
      <c r="U92" s="1229" t="str">
        <f t="shared" si="40"/>
        <v/>
      </c>
      <c r="V92" s="1229" t="str">
        <f t="shared" si="40"/>
        <v/>
      </c>
      <c r="W92" s="1229" t="str">
        <f t="shared" si="40"/>
        <v/>
      </c>
      <c r="X92" s="1229">
        <f t="shared" si="40"/>
        <v>45657</v>
      </c>
      <c r="Y92" s="1229" t="str">
        <f t="shared" si="40"/>
        <v/>
      </c>
      <c r="Z92" s="1229" t="str">
        <f t="shared" si="40"/>
        <v/>
      </c>
      <c r="AA92" s="1229" t="str">
        <f t="shared" si="40"/>
        <v/>
      </c>
      <c r="AB92" s="1229" t="str">
        <f t="shared" si="40"/>
        <v/>
      </c>
      <c r="AC92" s="1229" t="str">
        <f t="shared" si="40"/>
        <v/>
      </c>
      <c r="AD92" s="1229" t="str">
        <f t="shared" si="40"/>
        <v/>
      </c>
      <c r="AE92" s="1230">
        <f t="shared" si="34"/>
        <v>0</v>
      </c>
      <c r="AF92" s="1230">
        <f t="shared" si="34"/>
        <v>0</v>
      </c>
      <c r="AG92" s="1230">
        <f t="shared" si="34"/>
        <v>0</v>
      </c>
      <c r="AH92" s="1230">
        <f t="shared" si="34"/>
        <v>0</v>
      </c>
      <c r="AI92" s="1230">
        <f t="shared" si="34"/>
        <v>0</v>
      </c>
      <c r="AJ92" s="1230">
        <f t="shared" si="34"/>
        <v>0</v>
      </c>
      <c r="AK92" s="1230">
        <f t="shared" si="34"/>
        <v>0</v>
      </c>
      <c r="AL92" s="1230">
        <f t="shared" si="34"/>
        <v>0</v>
      </c>
      <c r="AM92" s="1230">
        <f t="shared" si="34"/>
        <v>0</v>
      </c>
      <c r="AN92" s="1230">
        <f t="shared" si="33"/>
        <v>0</v>
      </c>
      <c r="AO92" s="1231">
        <f t="shared" si="41"/>
        <v>0</v>
      </c>
      <c r="AP92" s="1231">
        <f t="shared" si="41"/>
        <v>0</v>
      </c>
      <c r="AQ92" s="1231">
        <f t="shared" si="41"/>
        <v>0</v>
      </c>
      <c r="AR92" s="1231">
        <f t="shared" si="41"/>
        <v>0</v>
      </c>
      <c r="AS92" s="1231">
        <f t="shared" si="41"/>
        <v>0</v>
      </c>
      <c r="AT92" s="1231">
        <f t="shared" si="41"/>
        <v>0</v>
      </c>
      <c r="AU92" s="1231">
        <f t="shared" si="41"/>
        <v>0</v>
      </c>
      <c r="AV92" s="1231">
        <f t="shared" si="41"/>
        <v>0</v>
      </c>
      <c r="AW92" s="1231">
        <f t="shared" si="41"/>
        <v>0</v>
      </c>
      <c r="AX92" s="1231">
        <f t="shared" si="41"/>
        <v>0</v>
      </c>
    </row>
    <row r="93" spans="1:50" ht="15" hidden="1" outlineLevel="1" x14ac:dyDescent="0.25">
      <c r="B93" s="1263" t="s">
        <v>805</v>
      </c>
      <c r="C93" s="1225"/>
      <c r="D93" s="1225"/>
      <c r="E93" s="1225"/>
      <c r="F93" s="1225"/>
      <c r="G93" s="1225"/>
      <c r="H93" s="1226">
        <v>0</v>
      </c>
      <c r="I93" s="1226">
        <v>0</v>
      </c>
      <c r="J93" s="1226">
        <v>0</v>
      </c>
      <c r="K93" s="1226">
        <v>0</v>
      </c>
      <c r="L93" s="1226">
        <v>0</v>
      </c>
      <c r="M93" s="1226">
        <v>0</v>
      </c>
      <c r="N93" s="1226">
        <v>0</v>
      </c>
      <c r="O93" s="1227">
        <f t="shared" si="39"/>
        <v>0</v>
      </c>
      <c r="P93" s="1223"/>
      <c r="Q93" s="1232">
        <v>45657</v>
      </c>
      <c r="R93" s="1218"/>
      <c r="S93" s="1232"/>
      <c r="T93" s="1223"/>
      <c r="U93" s="1229" t="str">
        <f t="shared" si="40"/>
        <v/>
      </c>
      <c r="V93" s="1229" t="str">
        <f t="shared" si="40"/>
        <v/>
      </c>
      <c r="W93" s="1229" t="str">
        <f t="shared" si="40"/>
        <v/>
      </c>
      <c r="X93" s="1229">
        <f t="shared" si="40"/>
        <v>45657</v>
      </c>
      <c r="Y93" s="1229" t="str">
        <f t="shared" si="40"/>
        <v/>
      </c>
      <c r="Z93" s="1229" t="str">
        <f t="shared" si="40"/>
        <v/>
      </c>
      <c r="AA93" s="1229" t="str">
        <f t="shared" si="40"/>
        <v/>
      </c>
      <c r="AB93" s="1229" t="str">
        <f t="shared" si="40"/>
        <v/>
      </c>
      <c r="AC93" s="1229" t="str">
        <f t="shared" si="40"/>
        <v/>
      </c>
      <c r="AD93" s="1229" t="str">
        <f t="shared" si="40"/>
        <v/>
      </c>
      <c r="AE93" s="1230">
        <f t="shared" si="34"/>
        <v>0</v>
      </c>
      <c r="AF93" s="1230">
        <f t="shared" si="34"/>
        <v>0</v>
      </c>
      <c r="AG93" s="1230">
        <f t="shared" si="34"/>
        <v>0</v>
      </c>
      <c r="AH93" s="1230">
        <f t="shared" si="34"/>
        <v>0</v>
      </c>
      <c r="AI93" s="1230">
        <f t="shared" si="34"/>
        <v>0</v>
      </c>
      <c r="AJ93" s="1230">
        <f t="shared" si="34"/>
        <v>0</v>
      </c>
      <c r="AK93" s="1230">
        <f t="shared" si="34"/>
        <v>0</v>
      </c>
      <c r="AL93" s="1230">
        <f t="shared" si="34"/>
        <v>0</v>
      </c>
      <c r="AM93" s="1230">
        <f t="shared" si="34"/>
        <v>0</v>
      </c>
      <c r="AN93" s="1230">
        <f t="shared" si="33"/>
        <v>0</v>
      </c>
      <c r="AO93" s="1231">
        <f t="shared" si="41"/>
        <v>0</v>
      </c>
      <c r="AP93" s="1231">
        <f t="shared" si="41"/>
        <v>0</v>
      </c>
      <c r="AQ93" s="1231">
        <f t="shared" si="41"/>
        <v>0</v>
      </c>
      <c r="AR93" s="1231">
        <f t="shared" si="41"/>
        <v>0</v>
      </c>
      <c r="AS93" s="1231">
        <f t="shared" si="41"/>
        <v>0</v>
      </c>
      <c r="AT93" s="1231">
        <f t="shared" si="41"/>
        <v>0</v>
      </c>
      <c r="AU93" s="1231">
        <f t="shared" si="41"/>
        <v>0</v>
      </c>
      <c r="AV93" s="1231">
        <f t="shared" si="41"/>
        <v>0</v>
      </c>
      <c r="AW93" s="1231">
        <f t="shared" si="41"/>
        <v>0</v>
      </c>
      <c r="AX93" s="1231">
        <f t="shared" si="41"/>
        <v>0</v>
      </c>
    </row>
    <row r="94" spans="1:50" ht="15" hidden="1" outlineLevel="1" x14ac:dyDescent="0.25">
      <c r="B94" s="1262" t="s">
        <v>806</v>
      </c>
      <c r="C94" s="1225"/>
      <c r="D94" s="1225"/>
      <c r="E94" s="1225"/>
      <c r="F94" s="1225"/>
      <c r="G94" s="1225"/>
      <c r="H94" s="1226">
        <v>0</v>
      </c>
      <c r="I94" s="1226">
        <v>0</v>
      </c>
      <c r="J94" s="1226">
        <v>0</v>
      </c>
      <c r="K94" s="1226">
        <v>0</v>
      </c>
      <c r="L94" s="1226">
        <v>0</v>
      </c>
      <c r="M94" s="1226">
        <v>0</v>
      </c>
      <c r="N94" s="1226">
        <v>0</v>
      </c>
      <c r="O94" s="1227">
        <f t="shared" si="39"/>
        <v>0</v>
      </c>
      <c r="P94" s="1223"/>
      <c r="Q94" s="1232">
        <v>45657</v>
      </c>
      <c r="R94" s="1218"/>
      <c r="S94" s="1232"/>
      <c r="T94" s="1223"/>
      <c r="U94" s="1229" t="str">
        <f t="shared" si="40"/>
        <v/>
      </c>
      <c r="V94" s="1229" t="str">
        <f t="shared" si="40"/>
        <v/>
      </c>
      <c r="W94" s="1229" t="str">
        <f t="shared" si="40"/>
        <v/>
      </c>
      <c r="X94" s="1229">
        <f t="shared" si="40"/>
        <v>45657</v>
      </c>
      <c r="Y94" s="1229" t="str">
        <f t="shared" si="40"/>
        <v/>
      </c>
      <c r="Z94" s="1229" t="str">
        <f t="shared" si="40"/>
        <v/>
      </c>
      <c r="AA94" s="1229" t="str">
        <f t="shared" si="40"/>
        <v/>
      </c>
      <c r="AB94" s="1229" t="str">
        <f t="shared" si="40"/>
        <v/>
      </c>
      <c r="AC94" s="1229" t="str">
        <f t="shared" si="40"/>
        <v/>
      </c>
      <c r="AD94" s="1229" t="str">
        <f t="shared" si="40"/>
        <v/>
      </c>
      <c r="AE94" s="1230">
        <f t="shared" si="34"/>
        <v>0</v>
      </c>
      <c r="AF94" s="1230">
        <f t="shared" si="34"/>
        <v>0</v>
      </c>
      <c r="AG94" s="1230">
        <f t="shared" si="34"/>
        <v>0</v>
      </c>
      <c r="AH94" s="1230">
        <f t="shared" si="34"/>
        <v>0</v>
      </c>
      <c r="AI94" s="1230">
        <f t="shared" si="34"/>
        <v>0</v>
      </c>
      <c r="AJ94" s="1230">
        <f t="shared" si="34"/>
        <v>0</v>
      </c>
      <c r="AK94" s="1230">
        <f t="shared" si="34"/>
        <v>0</v>
      </c>
      <c r="AL94" s="1230">
        <f t="shared" si="34"/>
        <v>0</v>
      </c>
      <c r="AM94" s="1230">
        <f t="shared" si="34"/>
        <v>0</v>
      </c>
      <c r="AN94" s="1230">
        <f t="shared" si="33"/>
        <v>0</v>
      </c>
      <c r="AO94" s="1231">
        <f t="shared" si="41"/>
        <v>0</v>
      </c>
      <c r="AP94" s="1231">
        <f t="shared" si="41"/>
        <v>0</v>
      </c>
      <c r="AQ94" s="1231">
        <f t="shared" si="41"/>
        <v>0</v>
      </c>
      <c r="AR94" s="1231">
        <f t="shared" si="41"/>
        <v>0</v>
      </c>
      <c r="AS94" s="1231">
        <f t="shared" si="41"/>
        <v>0</v>
      </c>
      <c r="AT94" s="1231">
        <f t="shared" si="41"/>
        <v>0</v>
      </c>
      <c r="AU94" s="1231">
        <f t="shared" si="41"/>
        <v>0</v>
      </c>
      <c r="AV94" s="1231">
        <f t="shared" si="41"/>
        <v>0</v>
      </c>
      <c r="AW94" s="1231">
        <f t="shared" si="41"/>
        <v>0</v>
      </c>
      <c r="AX94" s="1231">
        <f t="shared" si="41"/>
        <v>0</v>
      </c>
    </row>
    <row r="95" spans="1:50" ht="15" hidden="1" outlineLevel="1" x14ac:dyDescent="0.25">
      <c r="B95" s="1262" t="s">
        <v>807</v>
      </c>
      <c r="C95" s="1225"/>
      <c r="D95" s="1225"/>
      <c r="E95" s="1225"/>
      <c r="F95" s="1225"/>
      <c r="G95" s="1225"/>
      <c r="H95" s="1226">
        <v>0</v>
      </c>
      <c r="I95" s="1226">
        <v>0</v>
      </c>
      <c r="J95" s="1226">
        <v>0</v>
      </c>
      <c r="K95" s="1226">
        <v>0</v>
      </c>
      <c r="L95" s="1226">
        <v>0</v>
      </c>
      <c r="M95" s="1226">
        <v>0</v>
      </c>
      <c r="N95" s="1226">
        <v>0</v>
      </c>
      <c r="O95" s="1227">
        <f t="shared" si="39"/>
        <v>0</v>
      </c>
      <c r="P95" s="1223"/>
      <c r="Q95" s="1232">
        <v>45657</v>
      </c>
      <c r="R95" s="1218"/>
      <c r="S95" s="1232"/>
      <c r="T95" s="1223"/>
      <c r="U95" s="1229" t="str">
        <f t="shared" si="40"/>
        <v/>
      </c>
      <c r="V95" s="1229" t="str">
        <f t="shared" si="40"/>
        <v/>
      </c>
      <c r="W95" s="1229" t="str">
        <f t="shared" si="40"/>
        <v/>
      </c>
      <c r="X95" s="1229">
        <f t="shared" si="40"/>
        <v>45657</v>
      </c>
      <c r="Y95" s="1229" t="str">
        <f t="shared" si="40"/>
        <v/>
      </c>
      <c r="Z95" s="1229" t="str">
        <f t="shared" si="40"/>
        <v/>
      </c>
      <c r="AA95" s="1229" t="str">
        <f t="shared" si="40"/>
        <v/>
      </c>
      <c r="AB95" s="1229" t="str">
        <f t="shared" si="40"/>
        <v/>
      </c>
      <c r="AC95" s="1229" t="str">
        <f t="shared" si="40"/>
        <v/>
      </c>
      <c r="AD95" s="1229" t="str">
        <f t="shared" si="40"/>
        <v/>
      </c>
      <c r="AE95" s="1230">
        <f t="shared" si="34"/>
        <v>0</v>
      </c>
      <c r="AF95" s="1230">
        <f t="shared" si="34"/>
        <v>0</v>
      </c>
      <c r="AG95" s="1230">
        <f t="shared" si="34"/>
        <v>0</v>
      </c>
      <c r="AH95" s="1230">
        <f t="shared" si="34"/>
        <v>0</v>
      </c>
      <c r="AI95" s="1230">
        <f t="shared" si="34"/>
        <v>0</v>
      </c>
      <c r="AJ95" s="1230">
        <f t="shared" si="34"/>
        <v>0</v>
      </c>
      <c r="AK95" s="1230">
        <f t="shared" si="34"/>
        <v>0</v>
      </c>
      <c r="AL95" s="1230">
        <f t="shared" si="34"/>
        <v>0</v>
      </c>
      <c r="AM95" s="1230">
        <f t="shared" si="34"/>
        <v>0</v>
      </c>
      <c r="AN95" s="1230">
        <f t="shared" si="33"/>
        <v>0</v>
      </c>
      <c r="AO95" s="1231">
        <f t="shared" si="41"/>
        <v>0</v>
      </c>
      <c r="AP95" s="1231">
        <f t="shared" si="41"/>
        <v>0</v>
      </c>
      <c r="AQ95" s="1231">
        <f t="shared" si="41"/>
        <v>0</v>
      </c>
      <c r="AR95" s="1231">
        <f t="shared" si="41"/>
        <v>0</v>
      </c>
      <c r="AS95" s="1231">
        <f t="shared" si="41"/>
        <v>0</v>
      </c>
      <c r="AT95" s="1231">
        <f t="shared" si="41"/>
        <v>0</v>
      </c>
      <c r="AU95" s="1231">
        <f t="shared" si="41"/>
        <v>0</v>
      </c>
      <c r="AV95" s="1231">
        <f t="shared" si="41"/>
        <v>0</v>
      </c>
      <c r="AW95" s="1231">
        <f t="shared" si="41"/>
        <v>0</v>
      </c>
      <c r="AX95" s="1231">
        <f t="shared" si="41"/>
        <v>0</v>
      </c>
    </row>
    <row r="96" spans="1:50" ht="15" hidden="1" outlineLevel="1" x14ac:dyDescent="0.25">
      <c r="B96" s="1262" t="s">
        <v>808</v>
      </c>
      <c r="C96" s="1225"/>
      <c r="D96" s="1225"/>
      <c r="E96" s="1225"/>
      <c r="F96" s="1225"/>
      <c r="G96" s="1225"/>
      <c r="H96" s="1226">
        <v>0</v>
      </c>
      <c r="I96" s="1226">
        <v>0</v>
      </c>
      <c r="J96" s="1226">
        <v>0</v>
      </c>
      <c r="K96" s="1226">
        <v>0</v>
      </c>
      <c r="L96" s="1226">
        <v>0</v>
      </c>
      <c r="M96" s="1226">
        <v>0</v>
      </c>
      <c r="N96" s="1226">
        <v>0</v>
      </c>
      <c r="O96" s="1227">
        <f t="shared" si="39"/>
        <v>0</v>
      </c>
      <c r="P96" s="1223"/>
      <c r="Q96" s="1232">
        <v>45657</v>
      </c>
      <c r="R96" s="1218"/>
      <c r="S96" s="1232"/>
      <c r="T96" s="1223"/>
      <c r="U96" s="1229" t="str">
        <f t="shared" si="40"/>
        <v/>
      </c>
      <c r="V96" s="1229" t="str">
        <f t="shared" si="40"/>
        <v/>
      </c>
      <c r="W96" s="1229" t="str">
        <f t="shared" si="40"/>
        <v/>
      </c>
      <c r="X96" s="1229">
        <f t="shared" si="40"/>
        <v>45657</v>
      </c>
      <c r="Y96" s="1229" t="str">
        <f t="shared" si="40"/>
        <v/>
      </c>
      <c r="Z96" s="1229" t="str">
        <f t="shared" si="40"/>
        <v/>
      </c>
      <c r="AA96" s="1229" t="str">
        <f t="shared" si="40"/>
        <v/>
      </c>
      <c r="AB96" s="1229" t="str">
        <f t="shared" si="40"/>
        <v/>
      </c>
      <c r="AC96" s="1229" t="str">
        <f t="shared" si="40"/>
        <v/>
      </c>
      <c r="AD96" s="1229" t="str">
        <f t="shared" si="40"/>
        <v/>
      </c>
      <c r="AE96" s="1230">
        <f t="shared" si="34"/>
        <v>0</v>
      </c>
      <c r="AF96" s="1230">
        <f t="shared" si="34"/>
        <v>0</v>
      </c>
      <c r="AG96" s="1230">
        <f t="shared" si="34"/>
        <v>0</v>
      </c>
      <c r="AH96" s="1230">
        <f t="shared" si="34"/>
        <v>0</v>
      </c>
      <c r="AI96" s="1230">
        <f t="shared" si="34"/>
        <v>0</v>
      </c>
      <c r="AJ96" s="1230">
        <f t="shared" si="34"/>
        <v>0</v>
      </c>
      <c r="AK96" s="1230">
        <f t="shared" si="34"/>
        <v>0</v>
      </c>
      <c r="AL96" s="1230">
        <f t="shared" si="34"/>
        <v>0</v>
      </c>
      <c r="AM96" s="1230">
        <f t="shared" si="34"/>
        <v>0</v>
      </c>
      <c r="AN96" s="1230">
        <f t="shared" si="33"/>
        <v>0</v>
      </c>
      <c r="AO96" s="1231">
        <f t="shared" si="41"/>
        <v>0</v>
      </c>
      <c r="AP96" s="1231">
        <f t="shared" si="41"/>
        <v>0</v>
      </c>
      <c r="AQ96" s="1231">
        <f t="shared" si="41"/>
        <v>0</v>
      </c>
      <c r="AR96" s="1231">
        <f t="shared" si="41"/>
        <v>0</v>
      </c>
      <c r="AS96" s="1231">
        <f t="shared" si="41"/>
        <v>0</v>
      </c>
      <c r="AT96" s="1231">
        <f t="shared" si="41"/>
        <v>0</v>
      </c>
      <c r="AU96" s="1231">
        <f t="shared" si="41"/>
        <v>0</v>
      </c>
      <c r="AV96" s="1231">
        <f t="shared" si="41"/>
        <v>0</v>
      </c>
      <c r="AW96" s="1231">
        <f t="shared" si="41"/>
        <v>0</v>
      </c>
      <c r="AX96" s="1231">
        <f t="shared" si="41"/>
        <v>0</v>
      </c>
    </row>
    <row r="97" spans="2:50" ht="15" hidden="1" outlineLevel="1" x14ac:dyDescent="0.25">
      <c r="B97" s="1262" t="s">
        <v>809</v>
      </c>
      <c r="C97" s="1225"/>
      <c r="D97" s="1225"/>
      <c r="E97" s="1225"/>
      <c r="F97" s="1225"/>
      <c r="G97" s="1225"/>
      <c r="H97" s="1226">
        <v>0</v>
      </c>
      <c r="I97" s="1226">
        <v>0</v>
      </c>
      <c r="J97" s="1226">
        <v>0</v>
      </c>
      <c r="K97" s="1226">
        <v>0</v>
      </c>
      <c r="L97" s="1226">
        <v>0</v>
      </c>
      <c r="M97" s="1226">
        <v>0</v>
      </c>
      <c r="N97" s="1226">
        <v>0</v>
      </c>
      <c r="O97" s="1227">
        <f t="shared" si="39"/>
        <v>0</v>
      </c>
      <c r="P97" s="1223"/>
      <c r="Q97" s="1232">
        <v>45657</v>
      </c>
      <c r="R97" s="1218"/>
      <c r="S97" s="1232"/>
      <c r="T97" s="1223"/>
      <c r="U97" s="1229" t="str">
        <f t="shared" si="40"/>
        <v/>
      </c>
      <c r="V97" s="1229" t="str">
        <f t="shared" si="40"/>
        <v/>
      </c>
      <c r="W97" s="1229" t="str">
        <f t="shared" si="40"/>
        <v/>
      </c>
      <c r="X97" s="1229">
        <f t="shared" si="40"/>
        <v>45657</v>
      </c>
      <c r="Y97" s="1229" t="str">
        <f t="shared" si="40"/>
        <v/>
      </c>
      <c r="Z97" s="1229" t="str">
        <f t="shared" si="40"/>
        <v/>
      </c>
      <c r="AA97" s="1229" t="str">
        <f t="shared" si="40"/>
        <v/>
      </c>
      <c r="AB97" s="1229" t="str">
        <f t="shared" si="40"/>
        <v/>
      </c>
      <c r="AC97" s="1229" t="str">
        <f t="shared" si="40"/>
        <v/>
      </c>
      <c r="AD97" s="1229" t="str">
        <f t="shared" si="40"/>
        <v/>
      </c>
      <c r="AE97" s="1230">
        <f t="shared" si="34"/>
        <v>0</v>
      </c>
      <c r="AF97" s="1230">
        <f t="shared" si="34"/>
        <v>0</v>
      </c>
      <c r="AG97" s="1230">
        <f t="shared" si="34"/>
        <v>0</v>
      </c>
      <c r="AH97" s="1230">
        <f t="shared" si="34"/>
        <v>0</v>
      </c>
      <c r="AI97" s="1230">
        <f t="shared" si="34"/>
        <v>0</v>
      </c>
      <c r="AJ97" s="1230">
        <f t="shared" si="34"/>
        <v>0</v>
      </c>
      <c r="AK97" s="1230">
        <f t="shared" si="34"/>
        <v>0</v>
      </c>
      <c r="AL97" s="1230">
        <f t="shared" si="34"/>
        <v>0</v>
      </c>
      <c r="AM97" s="1230">
        <f t="shared" si="34"/>
        <v>0</v>
      </c>
      <c r="AN97" s="1230">
        <f t="shared" si="33"/>
        <v>0</v>
      </c>
      <c r="AO97" s="1231">
        <f t="shared" si="41"/>
        <v>0</v>
      </c>
      <c r="AP97" s="1231">
        <f t="shared" si="41"/>
        <v>0</v>
      </c>
      <c r="AQ97" s="1231">
        <f t="shared" si="41"/>
        <v>0</v>
      </c>
      <c r="AR97" s="1231">
        <f t="shared" si="41"/>
        <v>0</v>
      </c>
      <c r="AS97" s="1231">
        <f t="shared" si="41"/>
        <v>0</v>
      </c>
      <c r="AT97" s="1231">
        <f t="shared" si="41"/>
        <v>0</v>
      </c>
      <c r="AU97" s="1231">
        <f t="shared" si="41"/>
        <v>0</v>
      </c>
      <c r="AV97" s="1231">
        <f t="shared" si="41"/>
        <v>0</v>
      </c>
      <c r="AW97" s="1231">
        <f t="shared" si="41"/>
        <v>0</v>
      </c>
      <c r="AX97" s="1231">
        <f t="shared" si="41"/>
        <v>0</v>
      </c>
    </row>
    <row r="98" spans="2:50" ht="15" hidden="1" outlineLevel="1" x14ac:dyDescent="0.25">
      <c r="B98" s="1262" t="s">
        <v>810</v>
      </c>
      <c r="C98" s="1225"/>
      <c r="D98" s="1225"/>
      <c r="E98" s="1225"/>
      <c r="F98" s="1225"/>
      <c r="G98" s="1225"/>
      <c r="H98" s="1226">
        <v>0</v>
      </c>
      <c r="I98" s="1226">
        <v>0</v>
      </c>
      <c r="J98" s="1226">
        <v>0</v>
      </c>
      <c r="K98" s="1226">
        <v>0</v>
      </c>
      <c r="L98" s="1226">
        <v>0</v>
      </c>
      <c r="M98" s="1226">
        <v>0</v>
      </c>
      <c r="N98" s="1226">
        <v>0</v>
      </c>
      <c r="O98" s="1227">
        <f t="shared" si="39"/>
        <v>0</v>
      </c>
      <c r="P98" s="1223"/>
      <c r="Q98" s="1232">
        <v>45657</v>
      </c>
      <c r="R98" s="1218"/>
      <c r="S98" s="1232"/>
      <c r="T98" s="1223"/>
      <c r="U98" s="1229" t="str">
        <f t="shared" si="40"/>
        <v/>
      </c>
      <c r="V98" s="1229" t="str">
        <f t="shared" si="40"/>
        <v/>
      </c>
      <c r="W98" s="1229" t="str">
        <f t="shared" si="40"/>
        <v/>
      </c>
      <c r="X98" s="1229">
        <f t="shared" si="40"/>
        <v>45657</v>
      </c>
      <c r="Y98" s="1229" t="str">
        <f t="shared" si="40"/>
        <v/>
      </c>
      <c r="Z98" s="1229" t="str">
        <f t="shared" si="40"/>
        <v/>
      </c>
      <c r="AA98" s="1229" t="str">
        <f t="shared" si="40"/>
        <v/>
      </c>
      <c r="AB98" s="1229" t="str">
        <f t="shared" si="40"/>
        <v/>
      </c>
      <c r="AC98" s="1229" t="str">
        <f t="shared" si="40"/>
        <v/>
      </c>
      <c r="AD98" s="1229" t="str">
        <f t="shared" si="40"/>
        <v/>
      </c>
      <c r="AE98" s="1230">
        <f t="shared" si="34"/>
        <v>0</v>
      </c>
      <c r="AF98" s="1230">
        <f t="shared" si="34"/>
        <v>0</v>
      </c>
      <c r="AG98" s="1230">
        <f t="shared" si="34"/>
        <v>0</v>
      </c>
      <c r="AH98" s="1230">
        <f t="shared" si="34"/>
        <v>0</v>
      </c>
      <c r="AI98" s="1230">
        <f t="shared" si="34"/>
        <v>0</v>
      </c>
      <c r="AJ98" s="1230">
        <f t="shared" si="34"/>
        <v>0</v>
      </c>
      <c r="AK98" s="1230">
        <f t="shared" si="34"/>
        <v>0</v>
      </c>
      <c r="AL98" s="1230">
        <f t="shared" si="34"/>
        <v>0</v>
      </c>
      <c r="AM98" s="1230">
        <f t="shared" si="34"/>
        <v>0</v>
      </c>
      <c r="AN98" s="1230">
        <f t="shared" si="33"/>
        <v>0</v>
      </c>
      <c r="AO98" s="1231">
        <f t="shared" si="41"/>
        <v>0</v>
      </c>
      <c r="AP98" s="1231">
        <f t="shared" si="41"/>
        <v>0</v>
      </c>
      <c r="AQ98" s="1231">
        <f t="shared" si="41"/>
        <v>0</v>
      </c>
      <c r="AR98" s="1231">
        <f t="shared" si="41"/>
        <v>0</v>
      </c>
      <c r="AS98" s="1231">
        <f t="shared" si="41"/>
        <v>0</v>
      </c>
      <c r="AT98" s="1231">
        <f t="shared" si="41"/>
        <v>0</v>
      </c>
      <c r="AU98" s="1231">
        <f t="shared" si="41"/>
        <v>0</v>
      </c>
      <c r="AV98" s="1231">
        <f t="shared" si="41"/>
        <v>0</v>
      </c>
      <c r="AW98" s="1231">
        <f t="shared" si="41"/>
        <v>0</v>
      </c>
      <c r="AX98" s="1231">
        <f t="shared" si="41"/>
        <v>0</v>
      </c>
    </row>
    <row r="99" spans="2:50" ht="15" hidden="1" outlineLevel="1" x14ac:dyDescent="0.25">
      <c r="B99" s="1262" t="s">
        <v>811</v>
      </c>
      <c r="C99" s="1225"/>
      <c r="D99" s="1225"/>
      <c r="E99" s="1225"/>
      <c r="F99" s="1225"/>
      <c r="G99" s="1225"/>
      <c r="H99" s="1226">
        <v>0</v>
      </c>
      <c r="I99" s="1226">
        <v>0</v>
      </c>
      <c r="J99" s="1226">
        <v>0</v>
      </c>
      <c r="K99" s="1226">
        <v>0</v>
      </c>
      <c r="L99" s="1226">
        <v>0</v>
      </c>
      <c r="M99" s="1226">
        <v>0</v>
      </c>
      <c r="N99" s="1226">
        <v>0</v>
      </c>
      <c r="O99" s="1227">
        <f t="shared" si="39"/>
        <v>0</v>
      </c>
      <c r="P99" s="1223"/>
      <c r="Q99" s="1232">
        <v>45657</v>
      </c>
      <c r="R99" s="1218"/>
      <c r="S99" s="1232"/>
      <c r="T99" s="1223"/>
      <c r="U99" s="1229" t="str">
        <f t="shared" ref="U99:AD124" si="42">IF(U$6=YEAR($Q99),$Q99,"")</f>
        <v/>
      </c>
      <c r="V99" s="1229" t="str">
        <f t="shared" si="42"/>
        <v/>
      </c>
      <c r="W99" s="1229" t="str">
        <f t="shared" si="42"/>
        <v/>
      </c>
      <c r="X99" s="1229">
        <f t="shared" si="42"/>
        <v>45657</v>
      </c>
      <c r="Y99" s="1229" t="str">
        <f t="shared" si="42"/>
        <v/>
      </c>
      <c r="Z99" s="1229" t="str">
        <f t="shared" si="42"/>
        <v/>
      </c>
      <c r="AA99" s="1229" t="str">
        <f t="shared" si="42"/>
        <v/>
      </c>
      <c r="AB99" s="1229" t="str">
        <f t="shared" si="42"/>
        <v/>
      </c>
      <c r="AC99" s="1229" t="str">
        <f t="shared" si="42"/>
        <v/>
      </c>
      <c r="AD99" s="1229" t="str">
        <f t="shared" si="42"/>
        <v/>
      </c>
      <c r="AE99" s="1230">
        <f t="shared" si="34"/>
        <v>0</v>
      </c>
      <c r="AF99" s="1230">
        <f t="shared" si="34"/>
        <v>0</v>
      </c>
      <c r="AG99" s="1230">
        <f t="shared" si="34"/>
        <v>0</v>
      </c>
      <c r="AH99" s="1230">
        <f t="shared" si="34"/>
        <v>0</v>
      </c>
      <c r="AI99" s="1230">
        <f t="shared" si="34"/>
        <v>0</v>
      </c>
      <c r="AJ99" s="1230">
        <f t="shared" si="34"/>
        <v>0</v>
      </c>
      <c r="AK99" s="1230">
        <f t="shared" si="34"/>
        <v>0</v>
      </c>
      <c r="AL99" s="1230">
        <f t="shared" si="34"/>
        <v>0</v>
      </c>
      <c r="AM99" s="1230">
        <f t="shared" si="34"/>
        <v>0</v>
      </c>
      <c r="AN99" s="1230">
        <f t="shared" si="33"/>
        <v>0</v>
      </c>
      <c r="AO99" s="1231">
        <f t="shared" si="41"/>
        <v>0</v>
      </c>
      <c r="AP99" s="1231">
        <f t="shared" si="41"/>
        <v>0</v>
      </c>
      <c r="AQ99" s="1231">
        <f t="shared" si="41"/>
        <v>0</v>
      </c>
      <c r="AR99" s="1231">
        <f t="shared" si="41"/>
        <v>0</v>
      </c>
      <c r="AS99" s="1231">
        <f t="shared" si="41"/>
        <v>0</v>
      </c>
      <c r="AT99" s="1231">
        <f t="shared" si="41"/>
        <v>0</v>
      </c>
      <c r="AU99" s="1231">
        <f t="shared" si="41"/>
        <v>0</v>
      </c>
      <c r="AV99" s="1231">
        <f t="shared" si="41"/>
        <v>0</v>
      </c>
      <c r="AW99" s="1231">
        <f t="shared" si="41"/>
        <v>0</v>
      </c>
      <c r="AX99" s="1231">
        <f t="shared" si="41"/>
        <v>0</v>
      </c>
    </row>
    <row r="100" spans="2:50" ht="15" hidden="1" outlineLevel="1" x14ac:dyDescent="0.25">
      <c r="B100" s="1262" t="s">
        <v>812</v>
      </c>
      <c r="C100" s="1225"/>
      <c r="D100" s="1225"/>
      <c r="E100" s="1225"/>
      <c r="F100" s="1225"/>
      <c r="G100" s="1225"/>
      <c r="H100" s="1226">
        <v>0</v>
      </c>
      <c r="I100" s="1226">
        <v>0</v>
      </c>
      <c r="J100" s="1226">
        <v>0</v>
      </c>
      <c r="K100" s="1226">
        <v>0</v>
      </c>
      <c r="L100" s="1226">
        <v>0</v>
      </c>
      <c r="M100" s="1226">
        <v>0</v>
      </c>
      <c r="N100" s="1226">
        <v>0</v>
      </c>
      <c r="O100" s="1227">
        <f t="shared" si="39"/>
        <v>0</v>
      </c>
      <c r="P100" s="1223"/>
      <c r="Q100" s="1232">
        <v>45657</v>
      </c>
      <c r="R100" s="1218"/>
      <c r="S100" s="1232"/>
      <c r="T100" s="1223"/>
      <c r="U100" s="1229" t="str">
        <f t="shared" si="42"/>
        <v/>
      </c>
      <c r="V100" s="1229" t="str">
        <f t="shared" si="42"/>
        <v/>
      </c>
      <c r="W100" s="1229" t="str">
        <f t="shared" si="42"/>
        <v/>
      </c>
      <c r="X100" s="1229">
        <f t="shared" si="42"/>
        <v>45657</v>
      </c>
      <c r="Y100" s="1229" t="str">
        <f t="shared" si="42"/>
        <v/>
      </c>
      <c r="Z100" s="1229" t="str">
        <f t="shared" si="42"/>
        <v/>
      </c>
      <c r="AA100" s="1229" t="str">
        <f t="shared" si="42"/>
        <v/>
      </c>
      <c r="AB100" s="1229" t="str">
        <f t="shared" si="42"/>
        <v/>
      </c>
      <c r="AC100" s="1229" t="str">
        <f t="shared" si="42"/>
        <v/>
      </c>
      <c r="AD100" s="1229" t="str">
        <f t="shared" si="42"/>
        <v/>
      </c>
      <c r="AE100" s="1230">
        <f t="shared" si="34"/>
        <v>0</v>
      </c>
      <c r="AF100" s="1230">
        <f t="shared" si="34"/>
        <v>0</v>
      </c>
      <c r="AG100" s="1230">
        <f t="shared" si="34"/>
        <v>0</v>
      </c>
      <c r="AH100" s="1230">
        <f t="shared" si="34"/>
        <v>0</v>
      </c>
      <c r="AI100" s="1230">
        <f t="shared" si="34"/>
        <v>0</v>
      </c>
      <c r="AJ100" s="1230">
        <f t="shared" si="34"/>
        <v>0</v>
      </c>
      <c r="AK100" s="1230">
        <f t="shared" si="34"/>
        <v>0</v>
      </c>
      <c r="AL100" s="1230">
        <f t="shared" si="34"/>
        <v>0</v>
      </c>
      <c r="AM100" s="1230">
        <f t="shared" si="34"/>
        <v>0</v>
      </c>
      <c r="AN100" s="1230">
        <f t="shared" si="33"/>
        <v>0</v>
      </c>
      <c r="AO100" s="1231">
        <f t="shared" si="41"/>
        <v>0</v>
      </c>
      <c r="AP100" s="1231">
        <f t="shared" si="41"/>
        <v>0</v>
      </c>
      <c r="AQ100" s="1231">
        <f t="shared" si="41"/>
        <v>0</v>
      </c>
      <c r="AR100" s="1231">
        <f t="shared" si="41"/>
        <v>0</v>
      </c>
      <c r="AS100" s="1231">
        <f t="shared" si="41"/>
        <v>0</v>
      </c>
      <c r="AT100" s="1231">
        <f t="shared" si="41"/>
        <v>0</v>
      </c>
      <c r="AU100" s="1231">
        <f t="shared" si="41"/>
        <v>0</v>
      </c>
      <c r="AV100" s="1231">
        <f t="shared" si="41"/>
        <v>0</v>
      </c>
      <c r="AW100" s="1231">
        <f t="shared" si="41"/>
        <v>0</v>
      </c>
      <c r="AX100" s="1231">
        <f t="shared" si="41"/>
        <v>0</v>
      </c>
    </row>
    <row r="101" spans="2:50" ht="15" hidden="1" outlineLevel="1" x14ac:dyDescent="0.25">
      <c r="B101" s="1262" t="s">
        <v>813</v>
      </c>
      <c r="C101" s="1225"/>
      <c r="D101" s="1225"/>
      <c r="E101" s="1225"/>
      <c r="F101" s="1225"/>
      <c r="G101" s="1225"/>
      <c r="H101" s="1226">
        <v>0</v>
      </c>
      <c r="I101" s="1226">
        <v>0</v>
      </c>
      <c r="J101" s="1226">
        <v>0</v>
      </c>
      <c r="K101" s="1226">
        <v>0</v>
      </c>
      <c r="L101" s="1226">
        <v>0</v>
      </c>
      <c r="M101" s="1226">
        <v>0</v>
      </c>
      <c r="N101" s="1226">
        <v>0</v>
      </c>
      <c r="O101" s="1227">
        <f t="shared" si="39"/>
        <v>0</v>
      </c>
      <c r="P101" s="1223"/>
      <c r="Q101" s="1232">
        <v>45657</v>
      </c>
      <c r="R101" s="1218"/>
      <c r="S101" s="1232"/>
      <c r="T101" s="1223"/>
      <c r="U101" s="1229" t="str">
        <f t="shared" si="42"/>
        <v/>
      </c>
      <c r="V101" s="1229" t="str">
        <f t="shared" si="42"/>
        <v/>
      </c>
      <c r="W101" s="1229" t="str">
        <f t="shared" si="42"/>
        <v/>
      </c>
      <c r="X101" s="1229">
        <f t="shared" si="42"/>
        <v>45657</v>
      </c>
      <c r="Y101" s="1229" t="str">
        <f t="shared" si="42"/>
        <v/>
      </c>
      <c r="Z101" s="1229" t="str">
        <f t="shared" si="42"/>
        <v/>
      </c>
      <c r="AA101" s="1229" t="str">
        <f t="shared" si="42"/>
        <v/>
      </c>
      <c r="AB101" s="1229" t="str">
        <f t="shared" si="42"/>
        <v/>
      </c>
      <c r="AC101" s="1229" t="str">
        <f t="shared" si="42"/>
        <v/>
      </c>
      <c r="AD101" s="1229" t="str">
        <f t="shared" si="42"/>
        <v/>
      </c>
      <c r="AE101" s="1230">
        <f t="shared" si="34"/>
        <v>0</v>
      </c>
      <c r="AF101" s="1230">
        <f t="shared" si="34"/>
        <v>0</v>
      </c>
      <c r="AG101" s="1230">
        <f t="shared" si="34"/>
        <v>0</v>
      </c>
      <c r="AH101" s="1230">
        <f t="shared" si="34"/>
        <v>0</v>
      </c>
      <c r="AI101" s="1230">
        <f t="shared" si="34"/>
        <v>0</v>
      </c>
      <c r="AJ101" s="1230">
        <f t="shared" si="34"/>
        <v>0</v>
      </c>
      <c r="AK101" s="1230">
        <f t="shared" si="34"/>
        <v>0</v>
      </c>
      <c r="AL101" s="1230">
        <f t="shared" si="34"/>
        <v>0</v>
      </c>
      <c r="AM101" s="1230">
        <f t="shared" si="34"/>
        <v>0</v>
      </c>
      <c r="AN101" s="1230">
        <f t="shared" si="33"/>
        <v>0</v>
      </c>
      <c r="AO101" s="1231">
        <f t="shared" si="41"/>
        <v>0</v>
      </c>
      <c r="AP101" s="1231">
        <f t="shared" si="41"/>
        <v>0</v>
      </c>
      <c r="AQ101" s="1231">
        <f t="shared" si="41"/>
        <v>0</v>
      </c>
      <c r="AR101" s="1231">
        <f t="shared" si="41"/>
        <v>0</v>
      </c>
      <c r="AS101" s="1231">
        <f t="shared" si="41"/>
        <v>0</v>
      </c>
      <c r="AT101" s="1231">
        <f t="shared" si="41"/>
        <v>0</v>
      </c>
      <c r="AU101" s="1231">
        <f t="shared" si="41"/>
        <v>0</v>
      </c>
      <c r="AV101" s="1231">
        <f t="shared" si="41"/>
        <v>0</v>
      </c>
      <c r="AW101" s="1231">
        <f t="shared" si="41"/>
        <v>0</v>
      </c>
      <c r="AX101" s="1231">
        <f t="shared" si="41"/>
        <v>0</v>
      </c>
    </row>
    <row r="102" spans="2:50" ht="15" hidden="1" outlineLevel="1" x14ac:dyDescent="0.25">
      <c r="B102" s="1262" t="s">
        <v>814</v>
      </c>
      <c r="C102" s="1225"/>
      <c r="D102" s="1225"/>
      <c r="E102" s="1225"/>
      <c r="F102" s="1225"/>
      <c r="G102" s="1225"/>
      <c r="H102" s="1226">
        <v>0</v>
      </c>
      <c r="I102" s="1226">
        <v>0</v>
      </c>
      <c r="J102" s="1226">
        <v>0</v>
      </c>
      <c r="K102" s="1226">
        <v>0</v>
      </c>
      <c r="L102" s="1226">
        <v>0</v>
      </c>
      <c r="M102" s="1226">
        <v>0</v>
      </c>
      <c r="N102" s="1226">
        <v>0</v>
      </c>
      <c r="O102" s="1227">
        <f t="shared" si="39"/>
        <v>0</v>
      </c>
      <c r="P102" s="1223"/>
      <c r="Q102" s="1232">
        <v>45657</v>
      </c>
      <c r="R102" s="1218"/>
      <c r="S102" s="1232"/>
      <c r="T102" s="1223"/>
      <c r="U102" s="1229" t="str">
        <f t="shared" si="42"/>
        <v/>
      </c>
      <c r="V102" s="1229" t="str">
        <f t="shared" si="42"/>
        <v/>
      </c>
      <c r="W102" s="1229" t="str">
        <f t="shared" si="42"/>
        <v/>
      </c>
      <c r="X102" s="1229">
        <f t="shared" si="42"/>
        <v>45657</v>
      </c>
      <c r="Y102" s="1229" t="str">
        <f t="shared" si="42"/>
        <v/>
      </c>
      <c r="Z102" s="1229" t="str">
        <f t="shared" si="42"/>
        <v/>
      </c>
      <c r="AA102" s="1229" t="str">
        <f t="shared" si="42"/>
        <v/>
      </c>
      <c r="AB102" s="1229" t="str">
        <f t="shared" si="42"/>
        <v/>
      </c>
      <c r="AC102" s="1229" t="str">
        <f t="shared" si="42"/>
        <v/>
      </c>
      <c r="AD102" s="1229" t="str">
        <f t="shared" si="42"/>
        <v/>
      </c>
      <c r="AE102" s="1230">
        <f t="shared" si="34"/>
        <v>0</v>
      </c>
      <c r="AF102" s="1230">
        <f t="shared" si="34"/>
        <v>0</v>
      </c>
      <c r="AG102" s="1230">
        <f t="shared" si="34"/>
        <v>0</v>
      </c>
      <c r="AH102" s="1230">
        <f t="shared" si="34"/>
        <v>0</v>
      </c>
      <c r="AI102" s="1230">
        <f t="shared" si="34"/>
        <v>0</v>
      </c>
      <c r="AJ102" s="1230">
        <f t="shared" si="34"/>
        <v>0</v>
      </c>
      <c r="AK102" s="1230">
        <f t="shared" si="34"/>
        <v>0</v>
      </c>
      <c r="AL102" s="1230">
        <f t="shared" si="34"/>
        <v>0</v>
      </c>
      <c r="AM102" s="1230">
        <f t="shared" si="34"/>
        <v>0</v>
      </c>
      <c r="AN102" s="1230">
        <f t="shared" si="33"/>
        <v>0</v>
      </c>
      <c r="AO102" s="1231">
        <f t="shared" si="41"/>
        <v>0</v>
      </c>
      <c r="AP102" s="1231">
        <f t="shared" si="41"/>
        <v>0</v>
      </c>
      <c r="AQ102" s="1231">
        <f t="shared" si="41"/>
        <v>0</v>
      </c>
      <c r="AR102" s="1231">
        <f t="shared" si="41"/>
        <v>0</v>
      </c>
      <c r="AS102" s="1231">
        <f t="shared" si="41"/>
        <v>0</v>
      </c>
      <c r="AT102" s="1231">
        <f t="shared" si="41"/>
        <v>0</v>
      </c>
      <c r="AU102" s="1231">
        <f t="shared" si="41"/>
        <v>0</v>
      </c>
      <c r="AV102" s="1231">
        <f t="shared" si="41"/>
        <v>0</v>
      </c>
      <c r="AW102" s="1231">
        <f t="shared" si="41"/>
        <v>0</v>
      </c>
      <c r="AX102" s="1231">
        <f t="shared" si="41"/>
        <v>0</v>
      </c>
    </row>
    <row r="103" spans="2:50" ht="15" hidden="1" outlineLevel="1" x14ac:dyDescent="0.25">
      <c r="B103" s="1262" t="s">
        <v>815</v>
      </c>
      <c r="C103" s="1225"/>
      <c r="D103" s="1225"/>
      <c r="E103" s="1225"/>
      <c r="F103" s="1225"/>
      <c r="G103" s="1225"/>
      <c r="H103" s="1226">
        <v>0</v>
      </c>
      <c r="I103" s="1226">
        <v>0</v>
      </c>
      <c r="J103" s="1226">
        <v>0</v>
      </c>
      <c r="K103" s="1226">
        <v>0</v>
      </c>
      <c r="L103" s="1226">
        <v>0</v>
      </c>
      <c r="M103" s="1226">
        <v>0</v>
      </c>
      <c r="N103" s="1226">
        <v>0</v>
      </c>
      <c r="O103" s="1227">
        <f t="shared" si="39"/>
        <v>0</v>
      </c>
      <c r="P103" s="1223"/>
      <c r="Q103" s="1232">
        <v>45657</v>
      </c>
      <c r="R103" s="1218"/>
      <c r="S103" s="1232"/>
      <c r="T103" s="1223"/>
      <c r="U103" s="1229" t="str">
        <f t="shared" si="42"/>
        <v/>
      </c>
      <c r="V103" s="1229" t="str">
        <f t="shared" si="42"/>
        <v/>
      </c>
      <c r="W103" s="1229" t="str">
        <f t="shared" si="42"/>
        <v/>
      </c>
      <c r="X103" s="1229">
        <f t="shared" si="42"/>
        <v>45657</v>
      </c>
      <c r="Y103" s="1229" t="str">
        <f t="shared" si="42"/>
        <v/>
      </c>
      <c r="Z103" s="1229" t="str">
        <f t="shared" si="42"/>
        <v/>
      </c>
      <c r="AA103" s="1229" t="str">
        <f t="shared" si="42"/>
        <v/>
      </c>
      <c r="AB103" s="1229" t="str">
        <f t="shared" si="42"/>
        <v/>
      </c>
      <c r="AC103" s="1229" t="str">
        <f t="shared" si="42"/>
        <v/>
      </c>
      <c r="AD103" s="1229" t="str">
        <f t="shared" si="42"/>
        <v/>
      </c>
      <c r="AE103" s="1230">
        <f t="shared" si="34"/>
        <v>0</v>
      </c>
      <c r="AF103" s="1230">
        <f t="shared" si="34"/>
        <v>0</v>
      </c>
      <c r="AG103" s="1230">
        <f t="shared" si="34"/>
        <v>0</v>
      </c>
      <c r="AH103" s="1230">
        <f t="shared" ref="AH103:AN144" si="43">IF(X103="",,(DATE(AH$6,12,31)-X103)/365)</f>
        <v>0</v>
      </c>
      <c r="AI103" s="1230">
        <f t="shared" si="43"/>
        <v>0</v>
      </c>
      <c r="AJ103" s="1230">
        <f t="shared" si="43"/>
        <v>0</v>
      </c>
      <c r="AK103" s="1230">
        <f t="shared" si="43"/>
        <v>0</v>
      </c>
      <c r="AL103" s="1230">
        <f t="shared" si="43"/>
        <v>0</v>
      </c>
      <c r="AM103" s="1230">
        <f t="shared" si="43"/>
        <v>0</v>
      </c>
      <c r="AN103" s="1230">
        <f t="shared" si="33"/>
        <v>0</v>
      </c>
      <c r="AO103" s="1231">
        <f t="shared" si="41"/>
        <v>0</v>
      </c>
      <c r="AP103" s="1231">
        <f t="shared" si="41"/>
        <v>0</v>
      </c>
      <c r="AQ103" s="1231">
        <f t="shared" si="41"/>
        <v>0</v>
      </c>
      <c r="AR103" s="1231">
        <f t="shared" si="41"/>
        <v>0</v>
      </c>
      <c r="AS103" s="1231">
        <f t="shared" si="41"/>
        <v>0</v>
      </c>
      <c r="AT103" s="1231">
        <f t="shared" si="41"/>
        <v>0</v>
      </c>
      <c r="AU103" s="1231">
        <f t="shared" si="41"/>
        <v>0</v>
      </c>
      <c r="AV103" s="1231">
        <f t="shared" si="41"/>
        <v>0</v>
      </c>
      <c r="AW103" s="1231">
        <f t="shared" si="41"/>
        <v>0</v>
      </c>
      <c r="AX103" s="1231">
        <f t="shared" si="41"/>
        <v>0</v>
      </c>
    </row>
    <row r="104" spans="2:50" ht="15" hidden="1" outlineLevel="1" x14ac:dyDescent="0.25">
      <c r="B104" s="1262" t="s">
        <v>816</v>
      </c>
      <c r="C104" s="1225"/>
      <c r="D104" s="1225"/>
      <c r="E104" s="1225"/>
      <c r="F104" s="1225"/>
      <c r="G104" s="1225"/>
      <c r="H104" s="1226">
        <v>0</v>
      </c>
      <c r="I104" s="1226">
        <v>0</v>
      </c>
      <c r="J104" s="1226">
        <v>0</v>
      </c>
      <c r="K104" s="1226">
        <v>0</v>
      </c>
      <c r="L104" s="1226">
        <v>0</v>
      </c>
      <c r="M104" s="1226">
        <v>0</v>
      </c>
      <c r="N104" s="1226">
        <v>0</v>
      </c>
      <c r="O104" s="1227">
        <f t="shared" si="39"/>
        <v>0</v>
      </c>
      <c r="P104" s="1223"/>
      <c r="Q104" s="1232">
        <v>45818</v>
      </c>
      <c r="R104" s="1218"/>
      <c r="S104" s="1232"/>
      <c r="T104" s="1223"/>
      <c r="U104" s="1229" t="str">
        <f t="shared" si="42"/>
        <v/>
      </c>
      <c r="V104" s="1229" t="str">
        <f t="shared" si="42"/>
        <v/>
      </c>
      <c r="W104" s="1229" t="str">
        <f t="shared" si="42"/>
        <v/>
      </c>
      <c r="X104" s="1229" t="str">
        <f t="shared" si="42"/>
        <v/>
      </c>
      <c r="Y104" s="1229">
        <f t="shared" si="42"/>
        <v>45818</v>
      </c>
      <c r="Z104" s="1229" t="str">
        <f t="shared" si="42"/>
        <v/>
      </c>
      <c r="AA104" s="1229" t="str">
        <f t="shared" si="42"/>
        <v/>
      </c>
      <c r="AB104" s="1229" t="str">
        <f t="shared" si="42"/>
        <v/>
      </c>
      <c r="AC104" s="1229" t="str">
        <f t="shared" si="42"/>
        <v/>
      </c>
      <c r="AD104" s="1229" t="str">
        <f t="shared" si="42"/>
        <v/>
      </c>
      <c r="AE104" s="1230">
        <f t="shared" ref="AE104:AJ165" si="44">IF(U104="",,(DATE(AE$6,12,31)-U104)/365)</f>
        <v>0</v>
      </c>
      <c r="AF104" s="1230">
        <f t="shared" si="44"/>
        <v>0</v>
      </c>
      <c r="AG104" s="1230">
        <f t="shared" si="44"/>
        <v>0</v>
      </c>
      <c r="AH104" s="1230">
        <f t="shared" si="43"/>
        <v>0</v>
      </c>
      <c r="AI104" s="1230">
        <f t="shared" si="43"/>
        <v>0.55890410958904113</v>
      </c>
      <c r="AJ104" s="1230">
        <f t="shared" si="43"/>
        <v>0</v>
      </c>
      <c r="AK104" s="1230">
        <f t="shared" si="43"/>
        <v>0</v>
      </c>
      <c r="AL104" s="1230">
        <f t="shared" si="43"/>
        <v>0</v>
      </c>
      <c r="AM104" s="1230">
        <f t="shared" si="43"/>
        <v>0</v>
      </c>
      <c r="AN104" s="1230">
        <f t="shared" si="33"/>
        <v>0</v>
      </c>
      <c r="AO104" s="1231">
        <f t="shared" si="41"/>
        <v>0</v>
      </c>
      <c r="AP104" s="1231">
        <f t="shared" si="41"/>
        <v>0</v>
      </c>
      <c r="AQ104" s="1231">
        <f t="shared" si="41"/>
        <v>0</v>
      </c>
      <c r="AR104" s="1231">
        <f t="shared" si="41"/>
        <v>0</v>
      </c>
      <c r="AS104" s="1231">
        <f>AI104*I104</f>
        <v>0</v>
      </c>
      <c r="AT104" s="1231">
        <f t="shared" si="41"/>
        <v>0</v>
      </c>
      <c r="AU104" s="1231">
        <f t="shared" si="41"/>
        <v>0</v>
      </c>
      <c r="AV104" s="1231">
        <f t="shared" si="41"/>
        <v>0</v>
      </c>
      <c r="AW104" s="1231">
        <f t="shared" si="41"/>
        <v>0</v>
      </c>
      <c r="AX104" s="1231">
        <f t="shared" si="41"/>
        <v>0</v>
      </c>
    </row>
    <row r="105" spans="2:50" ht="15" hidden="1" outlineLevel="1" x14ac:dyDescent="0.25">
      <c r="B105" s="1262" t="s">
        <v>817</v>
      </c>
      <c r="C105" s="1225"/>
      <c r="D105" s="1225"/>
      <c r="E105" s="1225"/>
      <c r="F105" s="1225"/>
      <c r="G105" s="1225"/>
      <c r="H105" s="1226">
        <v>0</v>
      </c>
      <c r="I105" s="1226">
        <v>0</v>
      </c>
      <c r="J105" s="1226">
        <v>0</v>
      </c>
      <c r="K105" s="1226">
        <v>0</v>
      </c>
      <c r="L105" s="1226">
        <v>0</v>
      </c>
      <c r="M105" s="1226">
        <v>0</v>
      </c>
      <c r="N105" s="1226">
        <v>0</v>
      </c>
      <c r="O105" s="1227">
        <f t="shared" si="39"/>
        <v>0</v>
      </c>
      <c r="P105" s="1223"/>
      <c r="Q105" s="1232">
        <v>46022</v>
      </c>
      <c r="R105" s="1218"/>
      <c r="S105" s="1232"/>
      <c r="T105" s="1223"/>
      <c r="U105" s="1229" t="str">
        <f t="shared" si="42"/>
        <v/>
      </c>
      <c r="V105" s="1229" t="str">
        <f t="shared" si="42"/>
        <v/>
      </c>
      <c r="W105" s="1229" t="str">
        <f t="shared" si="42"/>
        <v/>
      </c>
      <c r="X105" s="1229" t="str">
        <f t="shared" si="42"/>
        <v/>
      </c>
      <c r="Y105" s="1229">
        <f t="shared" si="42"/>
        <v>46022</v>
      </c>
      <c r="Z105" s="1229" t="str">
        <f t="shared" si="42"/>
        <v/>
      </c>
      <c r="AA105" s="1229" t="str">
        <f t="shared" si="42"/>
        <v/>
      </c>
      <c r="AB105" s="1229" t="str">
        <f t="shared" si="42"/>
        <v/>
      </c>
      <c r="AC105" s="1229" t="str">
        <f t="shared" si="42"/>
        <v/>
      </c>
      <c r="AD105" s="1229" t="str">
        <f t="shared" si="42"/>
        <v/>
      </c>
      <c r="AE105" s="1230">
        <f t="shared" si="44"/>
        <v>0</v>
      </c>
      <c r="AF105" s="1230">
        <f t="shared" si="44"/>
        <v>0</v>
      </c>
      <c r="AG105" s="1230">
        <f t="shared" si="44"/>
        <v>0</v>
      </c>
      <c r="AH105" s="1230">
        <f t="shared" si="43"/>
        <v>0</v>
      </c>
      <c r="AI105" s="1230">
        <f t="shared" si="43"/>
        <v>0</v>
      </c>
      <c r="AJ105" s="1230">
        <f t="shared" si="43"/>
        <v>0</v>
      </c>
      <c r="AK105" s="1230">
        <f t="shared" si="43"/>
        <v>0</v>
      </c>
      <c r="AL105" s="1230">
        <f t="shared" si="43"/>
        <v>0</v>
      </c>
      <c r="AM105" s="1230">
        <f t="shared" si="43"/>
        <v>0</v>
      </c>
      <c r="AN105" s="1230">
        <f t="shared" si="33"/>
        <v>0</v>
      </c>
      <c r="AO105" s="1231">
        <f t="shared" si="41"/>
        <v>0</v>
      </c>
      <c r="AP105" s="1231">
        <f t="shared" si="41"/>
        <v>0</v>
      </c>
      <c r="AQ105" s="1231">
        <f t="shared" si="41"/>
        <v>0</v>
      </c>
      <c r="AR105" s="1231">
        <f t="shared" si="41"/>
        <v>0</v>
      </c>
      <c r="AS105" s="1231">
        <f t="shared" si="41"/>
        <v>0</v>
      </c>
      <c r="AT105" s="1231">
        <f t="shared" si="41"/>
        <v>0</v>
      </c>
      <c r="AU105" s="1231">
        <f t="shared" si="41"/>
        <v>0</v>
      </c>
      <c r="AV105" s="1231">
        <f t="shared" si="41"/>
        <v>0</v>
      </c>
      <c r="AW105" s="1231">
        <f t="shared" si="41"/>
        <v>0</v>
      </c>
      <c r="AX105" s="1231">
        <f t="shared" si="41"/>
        <v>0</v>
      </c>
    </row>
    <row r="106" spans="2:50" ht="15" hidden="1" outlineLevel="1" x14ac:dyDescent="0.25">
      <c r="B106" s="1262" t="s">
        <v>818</v>
      </c>
      <c r="C106" s="1225"/>
      <c r="D106" s="1225"/>
      <c r="E106" s="1225"/>
      <c r="F106" s="1225"/>
      <c r="G106" s="1225"/>
      <c r="H106" s="1226">
        <v>0</v>
      </c>
      <c r="I106" s="1226">
        <v>0</v>
      </c>
      <c r="J106" s="1226">
        <v>0</v>
      </c>
      <c r="K106" s="1226">
        <v>0</v>
      </c>
      <c r="L106" s="1226">
        <v>0</v>
      </c>
      <c r="M106" s="1226">
        <v>0</v>
      </c>
      <c r="N106" s="1226">
        <v>0</v>
      </c>
      <c r="O106" s="1227">
        <f t="shared" si="39"/>
        <v>0</v>
      </c>
      <c r="P106" s="1223"/>
      <c r="Q106" s="1232">
        <v>46022</v>
      </c>
      <c r="R106" s="1218"/>
      <c r="S106" s="1232"/>
      <c r="T106" s="1223"/>
      <c r="U106" s="1229" t="str">
        <f t="shared" si="42"/>
        <v/>
      </c>
      <c r="V106" s="1229" t="str">
        <f t="shared" si="42"/>
        <v/>
      </c>
      <c r="W106" s="1229" t="str">
        <f t="shared" si="42"/>
        <v/>
      </c>
      <c r="X106" s="1229" t="str">
        <f t="shared" si="42"/>
        <v/>
      </c>
      <c r="Y106" s="1229">
        <f t="shared" si="42"/>
        <v>46022</v>
      </c>
      <c r="Z106" s="1229" t="str">
        <f t="shared" si="42"/>
        <v/>
      </c>
      <c r="AA106" s="1229" t="str">
        <f t="shared" si="42"/>
        <v/>
      </c>
      <c r="AB106" s="1229" t="str">
        <f t="shared" si="42"/>
        <v/>
      </c>
      <c r="AC106" s="1229" t="str">
        <f t="shared" si="42"/>
        <v/>
      </c>
      <c r="AD106" s="1229" t="str">
        <f t="shared" si="42"/>
        <v/>
      </c>
      <c r="AE106" s="1230">
        <f t="shared" si="44"/>
        <v>0</v>
      </c>
      <c r="AF106" s="1230">
        <f t="shared" si="44"/>
        <v>0</v>
      </c>
      <c r="AG106" s="1230">
        <f t="shared" si="44"/>
        <v>0</v>
      </c>
      <c r="AH106" s="1230">
        <f t="shared" si="43"/>
        <v>0</v>
      </c>
      <c r="AI106" s="1230">
        <f t="shared" si="43"/>
        <v>0</v>
      </c>
      <c r="AJ106" s="1230">
        <f t="shared" si="43"/>
        <v>0</v>
      </c>
      <c r="AK106" s="1230">
        <f t="shared" si="43"/>
        <v>0</v>
      </c>
      <c r="AL106" s="1230">
        <f t="shared" si="43"/>
        <v>0</v>
      </c>
      <c r="AM106" s="1230">
        <f t="shared" si="43"/>
        <v>0</v>
      </c>
      <c r="AN106" s="1230">
        <f t="shared" si="33"/>
        <v>0</v>
      </c>
      <c r="AO106" s="1231">
        <f t="shared" si="41"/>
        <v>0</v>
      </c>
      <c r="AP106" s="1231">
        <f t="shared" si="41"/>
        <v>0</v>
      </c>
      <c r="AQ106" s="1231">
        <f t="shared" si="41"/>
        <v>0</v>
      </c>
      <c r="AR106" s="1231">
        <f t="shared" si="41"/>
        <v>0</v>
      </c>
      <c r="AS106" s="1231">
        <f t="shared" si="41"/>
        <v>0</v>
      </c>
      <c r="AT106" s="1231">
        <f t="shared" si="41"/>
        <v>0</v>
      </c>
      <c r="AU106" s="1231">
        <f t="shared" si="41"/>
        <v>0</v>
      </c>
      <c r="AV106" s="1231">
        <f t="shared" si="41"/>
        <v>0</v>
      </c>
      <c r="AW106" s="1231">
        <f t="shared" si="41"/>
        <v>0</v>
      </c>
      <c r="AX106" s="1231">
        <f t="shared" si="41"/>
        <v>0</v>
      </c>
    </row>
    <row r="107" spans="2:50" ht="15" hidden="1" outlineLevel="1" x14ac:dyDescent="0.25">
      <c r="B107" s="1262" t="s">
        <v>819</v>
      </c>
      <c r="C107" s="1225"/>
      <c r="D107" s="1225"/>
      <c r="E107" s="1225"/>
      <c r="F107" s="1225"/>
      <c r="G107" s="1225"/>
      <c r="H107" s="1226">
        <v>0</v>
      </c>
      <c r="I107" s="1226">
        <v>0</v>
      </c>
      <c r="J107" s="1226">
        <v>0</v>
      </c>
      <c r="K107" s="1226">
        <v>0</v>
      </c>
      <c r="L107" s="1226">
        <v>0</v>
      </c>
      <c r="M107" s="1226">
        <v>0</v>
      </c>
      <c r="N107" s="1226">
        <v>0</v>
      </c>
      <c r="O107" s="1227">
        <f t="shared" si="39"/>
        <v>0</v>
      </c>
      <c r="P107" s="1223"/>
      <c r="Q107" s="1232">
        <v>46022</v>
      </c>
      <c r="R107" s="1218"/>
      <c r="S107" s="1232"/>
      <c r="T107" s="1223"/>
      <c r="U107" s="1229" t="str">
        <f t="shared" si="42"/>
        <v/>
      </c>
      <c r="V107" s="1229" t="str">
        <f t="shared" si="42"/>
        <v/>
      </c>
      <c r="W107" s="1229" t="str">
        <f t="shared" si="42"/>
        <v/>
      </c>
      <c r="X107" s="1229" t="str">
        <f t="shared" si="42"/>
        <v/>
      </c>
      <c r="Y107" s="1229">
        <f t="shared" si="42"/>
        <v>46022</v>
      </c>
      <c r="Z107" s="1229" t="str">
        <f t="shared" si="42"/>
        <v/>
      </c>
      <c r="AA107" s="1229" t="str">
        <f t="shared" si="42"/>
        <v/>
      </c>
      <c r="AB107" s="1229" t="str">
        <f t="shared" si="42"/>
        <v/>
      </c>
      <c r="AC107" s="1229" t="str">
        <f t="shared" si="42"/>
        <v/>
      </c>
      <c r="AD107" s="1229" t="str">
        <f t="shared" si="42"/>
        <v/>
      </c>
      <c r="AE107" s="1230">
        <f t="shared" si="44"/>
        <v>0</v>
      </c>
      <c r="AF107" s="1230">
        <f t="shared" si="44"/>
        <v>0</v>
      </c>
      <c r="AG107" s="1230">
        <f t="shared" si="44"/>
        <v>0</v>
      </c>
      <c r="AH107" s="1230">
        <f t="shared" si="43"/>
        <v>0</v>
      </c>
      <c r="AI107" s="1230">
        <f t="shared" si="43"/>
        <v>0</v>
      </c>
      <c r="AJ107" s="1230">
        <f t="shared" si="43"/>
        <v>0</v>
      </c>
      <c r="AK107" s="1230">
        <f t="shared" si="43"/>
        <v>0</v>
      </c>
      <c r="AL107" s="1230">
        <f t="shared" si="43"/>
        <v>0</v>
      </c>
      <c r="AM107" s="1230">
        <f t="shared" si="43"/>
        <v>0</v>
      </c>
      <c r="AN107" s="1230">
        <f t="shared" si="33"/>
        <v>0</v>
      </c>
      <c r="AO107" s="1231">
        <f t="shared" si="41"/>
        <v>0</v>
      </c>
      <c r="AP107" s="1231">
        <f t="shared" si="41"/>
        <v>0</v>
      </c>
      <c r="AQ107" s="1231">
        <f t="shared" si="41"/>
        <v>0</v>
      </c>
      <c r="AR107" s="1231">
        <f t="shared" si="41"/>
        <v>0</v>
      </c>
      <c r="AS107" s="1231">
        <f t="shared" si="41"/>
        <v>0</v>
      </c>
      <c r="AT107" s="1231">
        <f t="shared" si="41"/>
        <v>0</v>
      </c>
      <c r="AU107" s="1231">
        <f t="shared" si="41"/>
        <v>0</v>
      </c>
      <c r="AV107" s="1231">
        <f t="shared" si="41"/>
        <v>0</v>
      </c>
      <c r="AW107" s="1231">
        <f t="shared" si="41"/>
        <v>0</v>
      </c>
      <c r="AX107" s="1231">
        <f t="shared" si="41"/>
        <v>0</v>
      </c>
    </row>
    <row r="108" spans="2:50" ht="15" hidden="1" outlineLevel="1" x14ac:dyDescent="0.25">
      <c r="B108" s="1262" t="s">
        <v>820</v>
      </c>
      <c r="C108" s="1225"/>
      <c r="D108" s="1225"/>
      <c r="E108" s="1225"/>
      <c r="F108" s="1225"/>
      <c r="G108" s="1225"/>
      <c r="H108" s="1226">
        <v>0</v>
      </c>
      <c r="I108" s="1226">
        <v>0</v>
      </c>
      <c r="J108" s="1226">
        <v>0</v>
      </c>
      <c r="K108" s="1226">
        <v>0</v>
      </c>
      <c r="L108" s="1226">
        <v>0</v>
      </c>
      <c r="M108" s="1226">
        <v>0</v>
      </c>
      <c r="N108" s="1226">
        <v>0</v>
      </c>
      <c r="O108" s="1227">
        <f t="shared" si="39"/>
        <v>0</v>
      </c>
      <c r="P108" s="1223"/>
      <c r="Q108" s="1232">
        <v>46022</v>
      </c>
      <c r="R108" s="1218"/>
      <c r="S108" s="1232"/>
      <c r="T108" s="1223"/>
      <c r="U108" s="1229" t="str">
        <f t="shared" si="42"/>
        <v/>
      </c>
      <c r="V108" s="1229" t="str">
        <f t="shared" si="42"/>
        <v/>
      </c>
      <c r="W108" s="1229" t="str">
        <f t="shared" si="42"/>
        <v/>
      </c>
      <c r="X108" s="1229" t="str">
        <f t="shared" si="42"/>
        <v/>
      </c>
      <c r="Y108" s="1229">
        <f t="shared" si="42"/>
        <v>46022</v>
      </c>
      <c r="Z108" s="1229" t="str">
        <f t="shared" si="42"/>
        <v/>
      </c>
      <c r="AA108" s="1229" t="str">
        <f t="shared" si="42"/>
        <v/>
      </c>
      <c r="AB108" s="1229" t="str">
        <f t="shared" si="42"/>
        <v/>
      </c>
      <c r="AC108" s="1229" t="str">
        <f t="shared" si="42"/>
        <v/>
      </c>
      <c r="AD108" s="1229" t="str">
        <f t="shared" si="42"/>
        <v/>
      </c>
      <c r="AE108" s="1230">
        <f t="shared" si="44"/>
        <v>0</v>
      </c>
      <c r="AF108" s="1230">
        <f t="shared" si="44"/>
        <v>0</v>
      </c>
      <c r="AG108" s="1230">
        <f t="shared" si="44"/>
        <v>0</v>
      </c>
      <c r="AH108" s="1230">
        <f t="shared" si="43"/>
        <v>0</v>
      </c>
      <c r="AI108" s="1230">
        <f t="shared" si="43"/>
        <v>0</v>
      </c>
      <c r="AJ108" s="1230">
        <f t="shared" si="43"/>
        <v>0</v>
      </c>
      <c r="AK108" s="1230">
        <f t="shared" si="43"/>
        <v>0</v>
      </c>
      <c r="AL108" s="1230">
        <f t="shared" si="43"/>
        <v>0</v>
      </c>
      <c r="AM108" s="1230">
        <f t="shared" si="43"/>
        <v>0</v>
      </c>
      <c r="AN108" s="1230">
        <f t="shared" si="33"/>
        <v>0</v>
      </c>
      <c r="AO108" s="1231">
        <f t="shared" si="41"/>
        <v>0</v>
      </c>
      <c r="AP108" s="1231">
        <f t="shared" si="41"/>
        <v>0</v>
      </c>
      <c r="AQ108" s="1231">
        <f t="shared" si="41"/>
        <v>0</v>
      </c>
      <c r="AR108" s="1231">
        <f t="shared" si="41"/>
        <v>0</v>
      </c>
      <c r="AS108" s="1231">
        <f t="shared" si="41"/>
        <v>0</v>
      </c>
      <c r="AT108" s="1231">
        <f t="shared" si="41"/>
        <v>0</v>
      </c>
      <c r="AU108" s="1231">
        <f t="shared" ref="AU108:AX128" si="45">AK108*K108</f>
        <v>0</v>
      </c>
      <c r="AV108" s="1231">
        <f t="shared" si="45"/>
        <v>0</v>
      </c>
      <c r="AW108" s="1231">
        <f t="shared" si="45"/>
        <v>0</v>
      </c>
      <c r="AX108" s="1231">
        <f t="shared" si="45"/>
        <v>0</v>
      </c>
    </row>
    <row r="109" spans="2:50" ht="15" hidden="1" outlineLevel="1" x14ac:dyDescent="0.25">
      <c r="B109" s="1262" t="s">
        <v>821</v>
      </c>
      <c r="C109" s="1225"/>
      <c r="D109" s="1225"/>
      <c r="E109" s="1225"/>
      <c r="F109" s="1225"/>
      <c r="G109" s="1225"/>
      <c r="H109" s="1226">
        <v>0</v>
      </c>
      <c r="I109" s="1226">
        <v>0</v>
      </c>
      <c r="J109" s="1226">
        <v>0</v>
      </c>
      <c r="K109" s="1226">
        <v>0</v>
      </c>
      <c r="L109" s="1226">
        <v>0</v>
      </c>
      <c r="M109" s="1226">
        <v>0</v>
      </c>
      <c r="N109" s="1226">
        <v>0</v>
      </c>
      <c r="O109" s="1227">
        <f t="shared" si="39"/>
        <v>0</v>
      </c>
      <c r="P109" s="1223"/>
      <c r="Q109" s="1232">
        <v>46022</v>
      </c>
      <c r="R109" s="1218"/>
      <c r="S109" s="1232"/>
      <c r="T109" s="1223"/>
      <c r="U109" s="1229" t="str">
        <f t="shared" si="42"/>
        <v/>
      </c>
      <c r="V109" s="1229" t="str">
        <f t="shared" si="42"/>
        <v/>
      </c>
      <c r="W109" s="1229" t="str">
        <f t="shared" si="42"/>
        <v/>
      </c>
      <c r="X109" s="1229" t="str">
        <f t="shared" si="42"/>
        <v/>
      </c>
      <c r="Y109" s="1229">
        <f t="shared" si="42"/>
        <v>46022</v>
      </c>
      <c r="Z109" s="1229" t="str">
        <f t="shared" si="42"/>
        <v/>
      </c>
      <c r="AA109" s="1229" t="str">
        <f t="shared" si="42"/>
        <v/>
      </c>
      <c r="AB109" s="1229" t="str">
        <f t="shared" si="42"/>
        <v/>
      </c>
      <c r="AC109" s="1229" t="str">
        <f t="shared" si="42"/>
        <v/>
      </c>
      <c r="AD109" s="1229" t="str">
        <f t="shared" si="42"/>
        <v/>
      </c>
      <c r="AE109" s="1230">
        <f t="shared" si="44"/>
        <v>0</v>
      </c>
      <c r="AF109" s="1230">
        <f t="shared" si="44"/>
        <v>0</v>
      </c>
      <c r="AG109" s="1230">
        <f t="shared" si="44"/>
        <v>0</v>
      </c>
      <c r="AH109" s="1230">
        <f t="shared" si="43"/>
        <v>0</v>
      </c>
      <c r="AI109" s="1230">
        <f t="shared" si="43"/>
        <v>0</v>
      </c>
      <c r="AJ109" s="1230">
        <f t="shared" si="43"/>
        <v>0</v>
      </c>
      <c r="AK109" s="1230">
        <f t="shared" si="43"/>
        <v>0</v>
      </c>
      <c r="AL109" s="1230">
        <f t="shared" si="43"/>
        <v>0</v>
      </c>
      <c r="AM109" s="1230">
        <f t="shared" si="43"/>
        <v>0</v>
      </c>
      <c r="AN109" s="1230">
        <f t="shared" si="33"/>
        <v>0</v>
      </c>
      <c r="AO109" s="1231">
        <f t="shared" ref="AO109:AT128" si="46">AE109*E109</f>
        <v>0</v>
      </c>
      <c r="AP109" s="1231">
        <f t="shared" si="46"/>
        <v>0</v>
      </c>
      <c r="AQ109" s="1231">
        <f t="shared" si="46"/>
        <v>0</v>
      </c>
      <c r="AR109" s="1231">
        <f t="shared" si="46"/>
        <v>0</v>
      </c>
      <c r="AS109" s="1231">
        <f t="shared" si="46"/>
        <v>0</v>
      </c>
      <c r="AT109" s="1231">
        <f t="shared" si="46"/>
        <v>0</v>
      </c>
      <c r="AU109" s="1231">
        <f t="shared" si="45"/>
        <v>0</v>
      </c>
      <c r="AV109" s="1231">
        <f t="shared" si="45"/>
        <v>0</v>
      </c>
      <c r="AW109" s="1231">
        <f t="shared" si="45"/>
        <v>0</v>
      </c>
      <c r="AX109" s="1231">
        <f t="shared" si="45"/>
        <v>0</v>
      </c>
    </row>
    <row r="110" spans="2:50" ht="15" hidden="1" outlineLevel="1" x14ac:dyDescent="0.25">
      <c r="B110" s="1262" t="s">
        <v>822</v>
      </c>
      <c r="C110" s="1225"/>
      <c r="D110" s="1225"/>
      <c r="E110" s="1225"/>
      <c r="F110" s="1225"/>
      <c r="G110" s="1225"/>
      <c r="H110" s="1226">
        <v>0</v>
      </c>
      <c r="I110" s="1226">
        <v>0</v>
      </c>
      <c r="J110" s="1226">
        <v>0</v>
      </c>
      <c r="K110" s="1226">
        <v>0</v>
      </c>
      <c r="L110" s="1226">
        <v>0</v>
      </c>
      <c r="M110" s="1226">
        <v>0</v>
      </c>
      <c r="N110" s="1226">
        <v>0</v>
      </c>
      <c r="O110" s="1227">
        <f t="shared" si="39"/>
        <v>0</v>
      </c>
      <c r="P110" s="1223"/>
      <c r="Q110" s="1232">
        <v>46022</v>
      </c>
      <c r="R110" s="1218"/>
      <c r="S110" s="1232"/>
      <c r="T110" s="1223"/>
      <c r="U110" s="1229" t="str">
        <f t="shared" si="42"/>
        <v/>
      </c>
      <c r="V110" s="1229" t="str">
        <f t="shared" si="42"/>
        <v/>
      </c>
      <c r="W110" s="1229" t="str">
        <f t="shared" si="42"/>
        <v/>
      </c>
      <c r="X110" s="1229" t="str">
        <f t="shared" si="42"/>
        <v/>
      </c>
      <c r="Y110" s="1229">
        <f t="shared" si="42"/>
        <v>46022</v>
      </c>
      <c r="Z110" s="1229" t="str">
        <f t="shared" si="42"/>
        <v/>
      </c>
      <c r="AA110" s="1229" t="str">
        <f t="shared" si="42"/>
        <v/>
      </c>
      <c r="AB110" s="1229" t="str">
        <f t="shared" si="42"/>
        <v/>
      </c>
      <c r="AC110" s="1229" t="str">
        <f t="shared" si="42"/>
        <v/>
      </c>
      <c r="AD110" s="1229" t="str">
        <f t="shared" si="42"/>
        <v/>
      </c>
      <c r="AE110" s="1230">
        <f t="shared" si="44"/>
        <v>0</v>
      </c>
      <c r="AF110" s="1230">
        <f t="shared" si="44"/>
        <v>0</v>
      </c>
      <c r="AG110" s="1230">
        <f t="shared" si="44"/>
        <v>0</v>
      </c>
      <c r="AH110" s="1230">
        <f t="shared" si="43"/>
        <v>0</v>
      </c>
      <c r="AI110" s="1230">
        <f t="shared" si="43"/>
        <v>0</v>
      </c>
      <c r="AJ110" s="1230">
        <f t="shared" si="43"/>
        <v>0</v>
      </c>
      <c r="AK110" s="1230">
        <f t="shared" si="43"/>
        <v>0</v>
      </c>
      <c r="AL110" s="1230">
        <f t="shared" si="43"/>
        <v>0</v>
      </c>
      <c r="AM110" s="1230">
        <f t="shared" si="43"/>
        <v>0</v>
      </c>
      <c r="AN110" s="1230">
        <f t="shared" si="33"/>
        <v>0</v>
      </c>
      <c r="AO110" s="1231">
        <f t="shared" si="46"/>
        <v>0</v>
      </c>
      <c r="AP110" s="1231">
        <f t="shared" si="46"/>
        <v>0</v>
      </c>
      <c r="AQ110" s="1231">
        <f t="shared" si="46"/>
        <v>0</v>
      </c>
      <c r="AR110" s="1231">
        <f t="shared" si="46"/>
        <v>0</v>
      </c>
      <c r="AS110" s="1231">
        <f t="shared" si="46"/>
        <v>0</v>
      </c>
      <c r="AT110" s="1231">
        <f t="shared" si="46"/>
        <v>0</v>
      </c>
      <c r="AU110" s="1231">
        <f t="shared" si="45"/>
        <v>0</v>
      </c>
      <c r="AV110" s="1231">
        <f t="shared" si="45"/>
        <v>0</v>
      </c>
      <c r="AW110" s="1231">
        <f t="shared" si="45"/>
        <v>0</v>
      </c>
      <c r="AX110" s="1231">
        <f t="shared" si="45"/>
        <v>0</v>
      </c>
    </row>
    <row r="111" spans="2:50" ht="15" hidden="1" outlineLevel="1" x14ac:dyDescent="0.25">
      <c r="B111" s="1262" t="s">
        <v>823</v>
      </c>
      <c r="C111" s="1225"/>
      <c r="D111" s="1225"/>
      <c r="E111" s="1225"/>
      <c r="F111" s="1225"/>
      <c r="G111" s="1225"/>
      <c r="H111" s="1226">
        <v>0</v>
      </c>
      <c r="I111" s="1226">
        <v>0</v>
      </c>
      <c r="J111" s="1226">
        <v>0</v>
      </c>
      <c r="K111" s="1226">
        <v>0</v>
      </c>
      <c r="L111" s="1226">
        <v>0</v>
      </c>
      <c r="M111" s="1226">
        <v>0</v>
      </c>
      <c r="N111" s="1226">
        <v>0</v>
      </c>
      <c r="O111" s="1227">
        <f t="shared" si="39"/>
        <v>0</v>
      </c>
      <c r="P111" s="1223"/>
      <c r="Q111" s="1232">
        <v>46022</v>
      </c>
      <c r="R111" s="1218"/>
      <c r="S111" s="1232"/>
      <c r="T111" s="1223"/>
      <c r="U111" s="1229" t="str">
        <f t="shared" si="42"/>
        <v/>
      </c>
      <c r="V111" s="1229" t="str">
        <f t="shared" si="42"/>
        <v/>
      </c>
      <c r="W111" s="1229" t="str">
        <f t="shared" si="42"/>
        <v/>
      </c>
      <c r="X111" s="1229" t="str">
        <f t="shared" si="42"/>
        <v/>
      </c>
      <c r="Y111" s="1229">
        <f t="shared" si="42"/>
        <v>46022</v>
      </c>
      <c r="Z111" s="1229" t="str">
        <f t="shared" si="42"/>
        <v/>
      </c>
      <c r="AA111" s="1229" t="str">
        <f t="shared" si="42"/>
        <v/>
      </c>
      <c r="AB111" s="1229" t="str">
        <f t="shared" si="42"/>
        <v/>
      </c>
      <c r="AC111" s="1229" t="str">
        <f t="shared" si="42"/>
        <v/>
      </c>
      <c r="AD111" s="1229" t="str">
        <f t="shared" si="42"/>
        <v/>
      </c>
      <c r="AE111" s="1230">
        <f t="shared" si="44"/>
        <v>0</v>
      </c>
      <c r="AF111" s="1230">
        <f t="shared" si="44"/>
        <v>0</v>
      </c>
      <c r="AG111" s="1230">
        <f t="shared" si="44"/>
        <v>0</v>
      </c>
      <c r="AH111" s="1230">
        <f t="shared" si="43"/>
        <v>0</v>
      </c>
      <c r="AI111" s="1230">
        <f t="shared" si="43"/>
        <v>0</v>
      </c>
      <c r="AJ111" s="1230">
        <f t="shared" si="43"/>
        <v>0</v>
      </c>
      <c r="AK111" s="1230">
        <f t="shared" si="43"/>
        <v>0</v>
      </c>
      <c r="AL111" s="1230">
        <f t="shared" si="43"/>
        <v>0</v>
      </c>
      <c r="AM111" s="1230">
        <f t="shared" si="43"/>
        <v>0</v>
      </c>
      <c r="AN111" s="1230">
        <f t="shared" si="33"/>
        <v>0</v>
      </c>
      <c r="AO111" s="1231">
        <f t="shared" si="46"/>
        <v>0</v>
      </c>
      <c r="AP111" s="1231">
        <f t="shared" si="46"/>
        <v>0</v>
      </c>
      <c r="AQ111" s="1231">
        <f t="shared" si="46"/>
        <v>0</v>
      </c>
      <c r="AR111" s="1231">
        <f t="shared" si="46"/>
        <v>0</v>
      </c>
      <c r="AS111" s="1231">
        <f t="shared" si="46"/>
        <v>0</v>
      </c>
      <c r="AT111" s="1231">
        <f t="shared" si="46"/>
        <v>0</v>
      </c>
      <c r="AU111" s="1231">
        <f t="shared" si="45"/>
        <v>0</v>
      </c>
      <c r="AV111" s="1231">
        <f t="shared" si="45"/>
        <v>0</v>
      </c>
      <c r="AW111" s="1231">
        <f t="shared" si="45"/>
        <v>0</v>
      </c>
      <c r="AX111" s="1231">
        <f t="shared" si="45"/>
        <v>0</v>
      </c>
    </row>
    <row r="112" spans="2:50" ht="15" hidden="1" outlineLevel="1" x14ac:dyDescent="0.25">
      <c r="B112" s="1262" t="s">
        <v>824</v>
      </c>
      <c r="C112" s="1225"/>
      <c r="D112" s="1225"/>
      <c r="E112" s="1225"/>
      <c r="F112" s="1225"/>
      <c r="G112" s="1225"/>
      <c r="H112" s="1226">
        <v>0</v>
      </c>
      <c r="I112" s="1226">
        <v>0</v>
      </c>
      <c r="J112" s="1226">
        <v>0</v>
      </c>
      <c r="K112" s="1226">
        <v>0</v>
      </c>
      <c r="L112" s="1226">
        <v>0</v>
      </c>
      <c r="M112" s="1226">
        <v>0</v>
      </c>
      <c r="N112" s="1226">
        <v>0</v>
      </c>
      <c r="O112" s="1227">
        <f t="shared" si="39"/>
        <v>0</v>
      </c>
      <c r="Q112" s="1232">
        <v>46022</v>
      </c>
      <c r="S112" s="1232"/>
      <c r="U112" s="1229" t="str">
        <f t="shared" si="42"/>
        <v/>
      </c>
      <c r="V112" s="1229" t="str">
        <f t="shared" si="42"/>
        <v/>
      </c>
      <c r="W112" s="1229" t="str">
        <f t="shared" si="42"/>
        <v/>
      </c>
      <c r="X112" s="1229" t="str">
        <f t="shared" si="42"/>
        <v/>
      </c>
      <c r="Y112" s="1229">
        <f t="shared" si="42"/>
        <v>46022</v>
      </c>
      <c r="Z112" s="1229" t="str">
        <f t="shared" si="42"/>
        <v/>
      </c>
      <c r="AA112" s="1229" t="str">
        <f t="shared" si="42"/>
        <v/>
      </c>
      <c r="AB112" s="1229" t="str">
        <f t="shared" si="42"/>
        <v/>
      </c>
      <c r="AC112" s="1229" t="str">
        <f t="shared" si="42"/>
        <v/>
      </c>
      <c r="AD112" s="1229" t="str">
        <f t="shared" si="42"/>
        <v/>
      </c>
      <c r="AE112" s="1230">
        <f t="shared" si="44"/>
        <v>0</v>
      </c>
      <c r="AF112" s="1230">
        <f t="shared" si="44"/>
        <v>0</v>
      </c>
      <c r="AG112" s="1230">
        <f t="shared" si="44"/>
        <v>0</v>
      </c>
      <c r="AH112" s="1230">
        <f t="shared" si="43"/>
        <v>0</v>
      </c>
      <c r="AI112" s="1230">
        <f t="shared" si="43"/>
        <v>0</v>
      </c>
      <c r="AJ112" s="1230">
        <f t="shared" si="43"/>
        <v>0</v>
      </c>
      <c r="AK112" s="1230">
        <f t="shared" si="43"/>
        <v>0</v>
      </c>
      <c r="AL112" s="1230">
        <f t="shared" si="43"/>
        <v>0</v>
      </c>
      <c r="AM112" s="1230">
        <f t="shared" si="43"/>
        <v>0</v>
      </c>
      <c r="AN112" s="1230">
        <f t="shared" si="33"/>
        <v>0</v>
      </c>
      <c r="AO112" s="1231">
        <f t="shared" si="46"/>
        <v>0</v>
      </c>
      <c r="AP112" s="1231">
        <f t="shared" si="46"/>
        <v>0</v>
      </c>
      <c r="AQ112" s="1231">
        <f t="shared" si="46"/>
        <v>0</v>
      </c>
      <c r="AR112" s="1231">
        <f t="shared" si="46"/>
        <v>0</v>
      </c>
      <c r="AS112" s="1231">
        <f t="shared" si="46"/>
        <v>0</v>
      </c>
      <c r="AT112" s="1231">
        <f t="shared" si="46"/>
        <v>0</v>
      </c>
      <c r="AU112" s="1231">
        <f t="shared" si="45"/>
        <v>0</v>
      </c>
      <c r="AV112" s="1231">
        <f t="shared" si="45"/>
        <v>0</v>
      </c>
      <c r="AW112" s="1231">
        <f t="shared" si="45"/>
        <v>0</v>
      </c>
      <c r="AX112" s="1231">
        <f t="shared" si="45"/>
        <v>0</v>
      </c>
    </row>
    <row r="113" spans="2:50" ht="15" hidden="1" outlineLevel="1" x14ac:dyDescent="0.25">
      <c r="B113" s="1262" t="s">
        <v>825</v>
      </c>
      <c r="C113" s="1225"/>
      <c r="D113" s="1225"/>
      <c r="E113" s="1225"/>
      <c r="F113" s="1225"/>
      <c r="G113" s="1225"/>
      <c r="H113" s="1226">
        <v>0</v>
      </c>
      <c r="I113" s="1226">
        <v>0</v>
      </c>
      <c r="J113" s="1226">
        <v>0</v>
      </c>
      <c r="K113" s="1226">
        <v>0</v>
      </c>
      <c r="L113" s="1226">
        <v>0</v>
      </c>
      <c r="M113" s="1226">
        <v>0</v>
      </c>
      <c r="N113" s="1226">
        <v>0</v>
      </c>
      <c r="O113" s="1227">
        <f t="shared" si="39"/>
        <v>0</v>
      </c>
      <c r="P113" s="1223"/>
      <c r="Q113" s="1232">
        <v>46022</v>
      </c>
      <c r="R113" s="1218"/>
      <c r="S113" s="1232"/>
      <c r="T113" s="1223"/>
      <c r="U113" s="1229" t="str">
        <f t="shared" si="42"/>
        <v/>
      </c>
      <c r="V113" s="1229" t="str">
        <f t="shared" si="42"/>
        <v/>
      </c>
      <c r="W113" s="1229" t="str">
        <f t="shared" si="42"/>
        <v/>
      </c>
      <c r="X113" s="1229" t="str">
        <f t="shared" si="42"/>
        <v/>
      </c>
      <c r="Y113" s="1229">
        <f t="shared" si="42"/>
        <v>46022</v>
      </c>
      <c r="Z113" s="1229" t="str">
        <f t="shared" si="42"/>
        <v/>
      </c>
      <c r="AA113" s="1229" t="str">
        <f t="shared" si="42"/>
        <v/>
      </c>
      <c r="AB113" s="1229" t="str">
        <f t="shared" si="42"/>
        <v/>
      </c>
      <c r="AC113" s="1229" t="str">
        <f t="shared" si="42"/>
        <v/>
      </c>
      <c r="AD113" s="1229" t="str">
        <f t="shared" si="42"/>
        <v/>
      </c>
      <c r="AE113" s="1230">
        <f t="shared" si="44"/>
        <v>0</v>
      </c>
      <c r="AF113" s="1230">
        <f t="shared" si="44"/>
        <v>0</v>
      </c>
      <c r="AG113" s="1230">
        <f t="shared" si="44"/>
        <v>0</v>
      </c>
      <c r="AH113" s="1230">
        <f t="shared" si="43"/>
        <v>0</v>
      </c>
      <c r="AI113" s="1230">
        <f t="shared" si="43"/>
        <v>0</v>
      </c>
      <c r="AJ113" s="1230">
        <f t="shared" si="43"/>
        <v>0</v>
      </c>
      <c r="AK113" s="1230">
        <f t="shared" si="43"/>
        <v>0</v>
      </c>
      <c r="AL113" s="1230">
        <f t="shared" si="43"/>
        <v>0</v>
      </c>
      <c r="AM113" s="1230">
        <f t="shared" si="43"/>
        <v>0</v>
      </c>
      <c r="AN113" s="1230">
        <f t="shared" si="33"/>
        <v>0</v>
      </c>
      <c r="AO113" s="1231">
        <f t="shared" si="46"/>
        <v>0</v>
      </c>
      <c r="AP113" s="1231">
        <f t="shared" si="46"/>
        <v>0</v>
      </c>
      <c r="AQ113" s="1231">
        <f t="shared" si="46"/>
        <v>0</v>
      </c>
      <c r="AR113" s="1231">
        <f t="shared" si="46"/>
        <v>0</v>
      </c>
      <c r="AS113" s="1231">
        <f t="shared" si="46"/>
        <v>0</v>
      </c>
      <c r="AT113" s="1231">
        <f t="shared" si="46"/>
        <v>0</v>
      </c>
      <c r="AU113" s="1231">
        <f t="shared" si="45"/>
        <v>0</v>
      </c>
      <c r="AV113" s="1231">
        <f t="shared" si="45"/>
        <v>0</v>
      </c>
      <c r="AW113" s="1231">
        <f t="shared" si="45"/>
        <v>0</v>
      </c>
      <c r="AX113" s="1231">
        <f t="shared" si="45"/>
        <v>0</v>
      </c>
    </row>
    <row r="114" spans="2:50" ht="15" hidden="1" outlineLevel="1" x14ac:dyDescent="0.25">
      <c r="B114" s="1262" t="s">
        <v>649</v>
      </c>
      <c r="C114" s="1225"/>
      <c r="D114" s="1225"/>
      <c r="E114" s="1225"/>
      <c r="F114" s="1225"/>
      <c r="G114" s="1225"/>
      <c r="H114" s="1226">
        <v>0</v>
      </c>
      <c r="I114" s="1226">
        <v>0</v>
      </c>
      <c r="J114" s="1226">
        <v>0</v>
      </c>
      <c r="K114" s="1226">
        <v>0</v>
      </c>
      <c r="L114" s="1226">
        <v>0</v>
      </c>
      <c r="M114" s="1226">
        <v>0</v>
      </c>
      <c r="N114" s="1226">
        <v>0</v>
      </c>
      <c r="O114" s="1227">
        <f t="shared" si="39"/>
        <v>0</v>
      </c>
      <c r="P114" s="1223"/>
      <c r="Q114" s="1232">
        <v>46022</v>
      </c>
      <c r="R114" s="1218"/>
      <c r="S114" s="1232"/>
      <c r="T114" s="1223"/>
      <c r="U114" s="1229" t="str">
        <f t="shared" si="42"/>
        <v/>
      </c>
      <c r="V114" s="1229" t="str">
        <f t="shared" si="42"/>
        <v/>
      </c>
      <c r="W114" s="1229" t="str">
        <f t="shared" si="42"/>
        <v/>
      </c>
      <c r="X114" s="1229" t="str">
        <f t="shared" si="42"/>
        <v/>
      </c>
      <c r="Y114" s="1229">
        <f t="shared" si="42"/>
        <v>46022</v>
      </c>
      <c r="Z114" s="1229" t="str">
        <f t="shared" si="42"/>
        <v/>
      </c>
      <c r="AA114" s="1229" t="str">
        <f t="shared" si="42"/>
        <v/>
      </c>
      <c r="AB114" s="1229" t="str">
        <f t="shared" si="42"/>
        <v/>
      </c>
      <c r="AC114" s="1229" t="str">
        <f t="shared" si="42"/>
        <v/>
      </c>
      <c r="AD114" s="1229" t="str">
        <f t="shared" si="42"/>
        <v/>
      </c>
      <c r="AE114" s="1230">
        <f t="shared" si="44"/>
        <v>0</v>
      </c>
      <c r="AF114" s="1230">
        <f t="shared" si="44"/>
        <v>0</v>
      </c>
      <c r="AG114" s="1230">
        <f t="shared" si="44"/>
        <v>0</v>
      </c>
      <c r="AH114" s="1230">
        <f t="shared" si="43"/>
        <v>0</v>
      </c>
      <c r="AI114" s="1230">
        <f t="shared" si="43"/>
        <v>0</v>
      </c>
      <c r="AJ114" s="1230">
        <f t="shared" si="43"/>
        <v>0</v>
      </c>
      <c r="AK114" s="1230">
        <f t="shared" si="43"/>
        <v>0</v>
      </c>
      <c r="AL114" s="1230">
        <f t="shared" si="43"/>
        <v>0</v>
      </c>
      <c r="AM114" s="1230">
        <f t="shared" si="43"/>
        <v>0</v>
      </c>
      <c r="AN114" s="1230">
        <f t="shared" si="33"/>
        <v>0</v>
      </c>
      <c r="AO114" s="1231">
        <f t="shared" si="46"/>
        <v>0</v>
      </c>
      <c r="AP114" s="1231">
        <f t="shared" si="46"/>
        <v>0</v>
      </c>
      <c r="AQ114" s="1231">
        <f t="shared" si="46"/>
        <v>0</v>
      </c>
      <c r="AR114" s="1231">
        <f t="shared" si="46"/>
        <v>0</v>
      </c>
      <c r="AS114" s="1231">
        <f t="shared" si="46"/>
        <v>0</v>
      </c>
      <c r="AT114" s="1231">
        <f t="shared" si="46"/>
        <v>0</v>
      </c>
      <c r="AU114" s="1231">
        <f t="shared" si="45"/>
        <v>0</v>
      </c>
      <c r="AV114" s="1231">
        <f t="shared" si="45"/>
        <v>0</v>
      </c>
      <c r="AW114" s="1231">
        <f t="shared" si="45"/>
        <v>0</v>
      </c>
      <c r="AX114" s="1231">
        <f t="shared" si="45"/>
        <v>0</v>
      </c>
    </row>
    <row r="115" spans="2:50" ht="15" hidden="1" outlineLevel="1" x14ac:dyDescent="0.25">
      <c r="B115" s="1262" t="s">
        <v>826</v>
      </c>
      <c r="C115" s="1225"/>
      <c r="D115" s="1225"/>
      <c r="E115" s="1225"/>
      <c r="F115" s="1225"/>
      <c r="G115" s="1225"/>
      <c r="H115" s="1226">
        <v>0</v>
      </c>
      <c r="I115" s="1226">
        <v>0</v>
      </c>
      <c r="J115" s="1226">
        <v>0</v>
      </c>
      <c r="K115" s="1226">
        <v>0</v>
      </c>
      <c r="L115" s="1226">
        <v>0</v>
      </c>
      <c r="M115" s="1226">
        <v>0</v>
      </c>
      <c r="N115" s="1226">
        <v>0</v>
      </c>
      <c r="O115" s="1227">
        <f t="shared" si="39"/>
        <v>0</v>
      </c>
      <c r="P115" s="1223"/>
      <c r="Q115" s="1232">
        <v>46022</v>
      </c>
      <c r="R115" s="1218"/>
      <c r="S115" s="1232"/>
      <c r="T115" s="1223"/>
      <c r="U115" s="1229" t="str">
        <f t="shared" si="42"/>
        <v/>
      </c>
      <c r="V115" s="1229" t="str">
        <f t="shared" si="42"/>
        <v/>
      </c>
      <c r="W115" s="1229" t="str">
        <f t="shared" si="42"/>
        <v/>
      </c>
      <c r="X115" s="1229" t="str">
        <f t="shared" si="42"/>
        <v/>
      </c>
      <c r="Y115" s="1229">
        <f t="shared" si="42"/>
        <v>46022</v>
      </c>
      <c r="Z115" s="1229" t="str">
        <f t="shared" si="42"/>
        <v/>
      </c>
      <c r="AA115" s="1229" t="str">
        <f t="shared" si="42"/>
        <v/>
      </c>
      <c r="AB115" s="1229" t="str">
        <f t="shared" si="42"/>
        <v/>
      </c>
      <c r="AC115" s="1229" t="str">
        <f t="shared" si="42"/>
        <v/>
      </c>
      <c r="AD115" s="1229" t="str">
        <f t="shared" si="42"/>
        <v/>
      </c>
      <c r="AE115" s="1230">
        <f t="shared" si="44"/>
        <v>0</v>
      </c>
      <c r="AF115" s="1230">
        <f t="shared" si="44"/>
        <v>0</v>
      </c>
      <c r="AG115" s="1230">
        <f t="shared" si="44"/>
        <v>0</v>
      </c>
      <c r="AH115" s="1230">
        <f t="shared" si="43"/>
        <v>0</v>
      </c>
      <c r="AI115" s="1230">
        <f t="shared" si="43"/>
        <v>0</v>
      </c>
      <c r="AJ115" s="1230">
        <f t="shared" si="43"/>
        <v>0</v>
      </c>
      <c r="AK115" s="1230">
        <f t="shared" si="43"/>
        <v>0</v>
      </c>
      <c r="AL115" s="1230">
        <f t="shared" si="43"/>
        <v>0</v>
      </c>
      <c r="AM115" s="1230">
        <f t="shared" si="43"/>
        <v>0</v>
      </c>
      <c r="AN115" s="1230">
        <f t="shared" si="33"/>
        <v>0</v>
      </c>
      <c r="AO115" s="1231">
        <f t="shared" si="46"/>
        <v>0</v>
      </c>
      <c r="AP115" s="1231">
        <f t="shared" si="46"/>
        <v>0</v>
      </c>
      <c r="AQ115" s="1231">
        <f t="shared" si="46"/>
        <v>0</v>
      </c>
      <c r="AR115" s="1231">
        <f t="shared" si="46"/>
        <v>0</v>
      </c>
      <c r="AS115" s="1231">
        <f t="shared" si="46"/>
        <v>0</v>
      </c>
      <c r="AT115" s="1231">
        <f t="shared" si="46"/>
        <v>0</v>
      </c>
      <c r="AU115" s="1231">
        <f t="shared" si="45"/>
        <v>0</v>
      </c>
      <c r="AV115" s="1231">
        <f t="shared" si="45"/>
        <v>0</v>
      </c>
      <c r="AW115" s="1231">
        <f t="shared" si="45"/>
        <v>0</v>
      </c>
      <c r="AX115" s="1231">
        <f t="shared" si="45"/>
        <v>0</v>
      </c>
    </row>
    <row r="116" spans="2:50" ht="15" hidden="1" outlineLevel="1" x14ac:dyDescent="0.25">
      <c r="B116" s="1262" t="s">
        <v>827</v>
      </c>
      <c r="C116" s="1225"/>
      <c r="D116" s="1225"/>
      <c r="E116" s="1225"/>
      <c r="F116" s="1225"/>
      <c r="G116" s="1225"/>
      <c r="H116" s="1226">
        <v>0</v>
      </c>
      <c r="I116" s="1226">
        <v>0</v>
      </c>
      <c r="J116" s="1226">
        <v>0</v>
      </c>
      <c r="K116" s="1226">
        <v>0</v>
      </c>
      <c r="L116" s="1226">
        <v>0</v>
      </c>
      <c r="M116" s="1226">
        <v>0</v>
      </c>
      <c r="N116" s="1226">
        <v>0</v>
      </c>
      <c r="O116" s="1227">
        <f t="shared" si="39"/>
        <v>0</v>
      </c>
      <c r="P116" s="1223"/>
      <c r="Q116" s="1232">
        <v>46022</v>
      </c>
      <c r="S116" s="1232"/>
      <c r="T116" s="1223"/>
      <c r="U116" s="1229" t="str">
        <f t="shared" si="42"/>
        <v/>
      </c>
      <c r="V116" s="1229" t="str">
        <f t="shared" si="42"/>
        <v/>
      </c>
      <c r="W116" s="1229" t="str">
        <f t="shared" si="42"/>
        <v/>
      </c>
      <c r="X116" s="1229" t="str">
        <f t="shared" si="42"/>
        <v/>
      </c>
      <c r="Y116" s="1229">
        <f t="shared" si="42"/>
        <v>46022</v>
      </c>
      <c r="Z116" s="1229" t="str">
        <f t="shared" si="42"/>
        <v/>
      </c>
      <c r="AA116" s="1229" t="str">
        <f t="shared" si="42"/>
        <v/>
      </c>
      <c r="AB116" s="1229" t="str">
        <f t="shared" si="42"/>
        <v/>
      </c>
      <c r="AC116" s="1229" t="str">
        <f t="shared" si="42"/>
        <v/>
      </c>
      <c r="AD116" s="1229" t="str">
        <f t="shared" si="42"/>
        <v/>
      </c>
      <c r="AE116" s="1230">
        <f t="shared" si="44"/>
        <v>0</v>
      </c>
      <c r="AF116" s="1230">
        <f t="shared" si="44"/>
        <v>0</v>
      </c>
      <c r="AG116" s="1230">
        <f t="shared" si="44"/>
        <v>0</v>
      </c>
      <c r="AH116" s="1230">
        <f t="shared" si="43"/>
        <v>0</v>
      </c>
      <c r="AI116" s="1230">
        <f t="shared" si="43"/>
        <v>0</v>
      </c>
      <c r="AJ116" s="1230">
        <f t="shared" si="43"/>
        <v>0</v>
      </c>
      <c r="AK116" s="1230">
        <f t="shared" si="43"/>
        <v>0</v>
      </c>
      <c r="AL116" s="1230">
        <f t="shared" si="43"/>
        <v>0</v>
      </c>
      <c r="AM116" s="1230">
        <f t="shared" si="43"/>
        <v>0</v>
      </c>
      <c r="AN116" s="1230">
        <f t="shared" si="33"/>
        <v>0</v>
      </c>
      <c r="AO116" s="1231">
        <f t="shared" si="46"/>
        <v>0</v>
      </c>
      <c r="AP116" s="1231">
        <f t="shared" si="46"/>
        <v>0</v>
      </c>
      <c r="AQ116" s="1231">
        <f t="shared" si="46"/>
        <v>0</v>
      </c>
      <c r="AR116" s="1231">
        <f t="shared" si="46"/>
        <v>0</v>
      </c>
      <c r="AS116" s="1231">
        <f t="shared" si="46"/>
        <v>0</v>
      </c>
      <c r="AT116" s="1231">
        <f t="shared" si="46"/>
        <v>0</v>
      </c>
      <c r="AU116" s="1231">
        <f t="shared" si="45"/>
        <v>0</v>
      </c>
      <c r="AV116" s="1231">
        <f t="shared" si="45"/>
        <v>0</v>
      </c>
      <c r="AW116" s="1231">
        <f t="shared" si="45"/>
        <v>0</v>
      </c>
      <c r="AX116" s="1231">
        <f t="shared" si="45"/>
        <v>0</v>
      </c>
    </row>
    <row r="117" spans="2:50" ht="15" hidden="1" outlineLevel="1" x14ac:dyDescent="0.25">
      <c r="B117" s="1262" t="s">
        <v>828</v>
      </c>
      <c r="C117" s="1225"/>
      <c r="D117" s="1225"/>
      <c r="E117" s="1225"/>
      <c r="F117" s="1225"/>
      <c r="G117" s="1225"/>
      <c r="H117" s="1226">
        <v>0</v>
      </c>
      <c r="I117" s="1226">
        <v>0</v>
      </c>
      <c r="J117" s="1226">
        <v>0</v>
      </c>
      <c r="K117" s="1226">
        <v>0</v>
      </c>
      <c r="L117" s="1226">
        <v>0</v>
      </c>
      <c r="M117" s="1226">
        <v>0</v>
      </c>
      <c r="N117" s="1226">
        <v>0</v>
      </c>
      <c r="O117" s="1227">
        <f t="shared" si="39"/>
        <v>0</v>
      </c>
      <c r="P117" s="1223"/>
      <c r="Q117" s="1232">
        <v>46022</v>
      </c>
      <c r="S117" s="1232"/>
      <c r="T117" s="1223"/>
      <c r="U117" s="1229" t="str">
        <f t="shared" si="42"/>
        <v/>
      </c>
      <c r="V117" s="1229" t="str">
        <f t="shared" si="42"/>
        <v/>
      </c>
      <c r="W117" s="1229" t="str">
        <f t="shared" si="42"/>
        <v/>
      </c>
      <c r="X117" s="1229" t="str">
        <f t="shared" si="42"/>
        <v/>
      </c>
      <c r="Y117" s="1229">
        <f t="shared" si="42"/>
        <v>46022</v>
      </c>
      <c r="Z117" s="1229" t="str">
        <f t="shared" si="42"/>
        <v/>
      </c>
      <c r="AA117" s="1229" t="str">
        <f t="shared" si="42"/>
        <v/>
      </c>
      <c r="AB117" s="1229" t="str">
        <f t="shared" si="42"/>
        <v/>
      </c>
      <c r="AC117" s="1229" t="str">
        <f t="shared" si="42"/>
        <v/>
      </c>
      <c r="AD117" s="1229" t="str">
        <f t="shared" si="42"/>
        <v/>
      </c>
      <c r="AE117" s="1230">
        <f t="shared" si="44"/>
        <v>0</v>
      </c>
      <c r="AF117" s="1230">
        <f t="shared" si="44"/>
        <v>0</v>
      </c>
      <c r="AG117" s="1230">
        <f t="shared" si="44"/>
        <v>0</v>
      </c>
      <c r="AH117" s="1230">
        <f t="shared" si="43"/>
        <v>0</v>
      </c>
      <c r="AI117" s="1230">
        <f t="shared" si="43"/>
        <v>0</v>
      </c>
      <c r="AJ117" s="1230">
        <f t="shared" si="43"/>
        <v>0</v>
      </c>
      <c r="AK117" s="1230">
        <f t="shared" si="43"/>
        <v>0</v>
      </c>
      <c r="AL117" s="1230">
        <f t="shared" si="43"/>
        <v>0</v>
      </c>
      <c r="AM117" s="1230">
        <f t="shared" si="43"/>
        <v>0</v>
      </c>
      <c r="AN117" s="1230">
        <f t="shared" si="33"/>
        <v>0</v>
      </c>
      <c r="AO117" s="1231">
        <f t="shared" si="46"/>
        <v>0</v>
      </c>
      <c r="AP117" s="1231">
        <f t="shared" si="46"/>
        <v>0</v>
      </c>
      <c r="AQ117" s="1231">
        <f t="shared" si="46"/>
        <v>0</v>
      </c>
      <c r="AR117" s="1231">
        <f t="shared" si="46"/>
        <v>0</v>
      </c>
      <c r="AS117" s="1231">
        <f t="shared" si="46"/>
        <v>0</v>
      </c>
      <c r="AT117" s="1231">
        <f t="shared" si="46"/>
        <v>0</v>
      </c>
      <c r="AU117" s="1231">
        <f t="shared" si="45"/>
        <v>0</v>
      </c>
      <c r="AV117" s="1231">
        <f t="shared" si="45"/>
        <v>0</v>
      </c>
      <c r="AW117" s="1231">
        <f t="shared" si="45"/>
        <v>0</v>
      </c>
      <c r="AX117" s="1231">
        <f t="shared" si="45"/>
        <v>0</v>
      </c>
    </row>
    <row r="118" spans="2:50" ht="15" hidden="1" outlineLevel="1" x14ac:dyDescent="0.25">
      <c r="B118" s="1262" t="s">
        <v>829</v>
      </c>
      <c r="C118" s="1225"/>
      <c r="D118" s="1225"/>
      <c r="E118" s="1225"/>
      <c r="F118" s="1225"/>
      <c r="G118" s="1225"/>
      <c r="H118" s="1226">
        <v>0</v>
      </c>
      <c r="I118" s="1226">
        <v>0</v>
      </c>
      <c r="J118" s="1226">
        <v>0</v>
      </c>
      <c r="K118" s="1226">
        <v>0</v>
      </c>
      <c r="L118" s="1226">
        <v>0</v>
      </c>
      <c r="M118" s="1226">
        <v>0</v>
      </c>
      <c r="N118" s="1226">
        <v>0</v>
      </c>
      <c r="O118" s="1227">
        <f t="shared" si="39"/>
        <v>0</v>
      </c>
      <c r="P118" s="1223"/>
      <c r="Q118" s="1232">
        <v>46022</v>
      </c>
      <c r="S118" s="1232"/>
      <c r="T118" s="1223"/>
      <c r="U118" s="1229" t="str">
        <f t="shared" si="42"/>
        <v/>
      </c>
      <c r="V118" s="1229" t="str">
        <f t="shared" si="42"/>
        <v/>
      </c>
      <c r="W118" s="1229" t="str">
        <f t="shared" si="42"/>
        <v/>
      </c>
      <c r="X118" s="1229" t="str">
        <f t="shared" si="42"/>
        <v/>
      </c>
      <c r="Y118" s="1229">
        <f t="shared" si="42"/>
        <v>46022</v>
      </c>
      <c r="Z118" s="1229" t="str">
        <f t="shared" si="42"/>
        <v/>
      </c>
      <c r="AA118" s="1229" t="str">
        <f t="shared" si="42"/>
        <v/>
      </c>
      <c r="AB118" s="1229" t="str">
        <f t="shared" si="42"/>
        <v/>
      </c>
      <c r="AC118" s="1229" t="str">
        <f t="shared" si="42"/>
        <v/>
      </c>
      <c r="AD118" s="1229" t="str">
        <f t="shared" si="42"/>
        <v/>
      </c>
      <c r="AE118" s="1230">
        <f t="shared" si="44"/>
        <v>0</v>
      </c>
      <c r="AF118" s="1230">
        <f t="shared" si="44"/>
        <v>0</v>
      </c>
      <c r="AG118" s="1230">
        <f t="shared" si="44"/>
        <v>0</v>
      </c>
      <c r="AH118" s="1230">
        <f t="shared" si="43"/>
        <v>0</v>
      </c>
      <c r="AI118" s="1230">
        <f t="shared" si="43"/>
        <v>0</v>
      </c>
      <c r="AJ118" s="1230">
        <f t="shared" si="43"/>
        <v>0</v>
      </c>
      <c r="AK118" s="1230">
        <f t="shared" si="43"/>
        <v>0</v>
      </c>
      <c r="AL118" s="1230">
        <f t="shared" si="43"/>
        <v>0</v>
      </c>
      <c r="AM118" s="1230">
        <f t="shared" si="43"/>
        <v>0</v>
      </c>
      <c r="AN118" s="1230">
        <f t="shared" si="33"/>
        <v>0</v>
      </c>
      <c r="AO118" s="1231">
        <f t="shared" si="46"/>
        <v>0</v>
      </c>
      <c r="AP118" s="1231">
        <f t="shared" si="46"/>
        <v>0</v>
      </c>
      <c r="AQ118" s="1231">
        <f t="shared" si="46"/>
        <v>0</v>
      </c>
      <c r="AR118" s="1231">
        <f t="shared" si="46"/>
        <v>0</v>
      </c>
      <c r="AS118" s="1231">
        <f t="shared" si="46"/>
        <v>0</v>
      </c>
      <c r="AT118" s="1231">
        <f t="shared" si="46"/>
        <v>0</v>
      </c>
      <c r="AU118" s="1231">
        <f t="shared" si="45"/>
        <v>0</v>
      </c>
      <c r="AV118" s="1231">
        <f t="shared" si="45"/>
        <v>0</v>
      </c>
      <c r="AW118" s="1231">
        <f t="shared" si="45"/>
        <v>0</v>
      </c>
      <c r="AX118" s="1231">
        <f t="shared" si="45"/>
        <v>0</v>
      </c>
    </row>
    <row r="119" spans="2:50" ht="15" hidden="1" outlineLevel="1" x14ac:dyDescent="0.25">
      <c r="B119" s="1262" t="s">
        <v>830</v>
      </c>
      <c r="C119" s="1225"/>
      <c r="D119" s="1225"/>
      <c r="E119" s="1225"/>
      <c r="F119" s="1225"/>
      <c r="G119" s="1225"/>
      <c r="H119" s="1226">
        <v>0</v>
      </c>
      <c r="I119" s="1226">
        <v>0</v>
      </c>
      <c r="J119" s="1226">
        <v>0</v>
      </c>
      <c r="K119" s="1226">
        <v>0</v>
      </c>
      <c r="L119" s="1226">
        <v>0</v>
      </c>
      <c r="M119" s="1226">
        <v>0</v>
      </c>
      <c r="N119" s="1226">
        <v>0</v>
      </c>
      <c r="O119" s="1227">
        <f t="shared" si="39"/>
        <v>0</v>
      </c>
      <c r="P119" s="1223"/>
      <c r="Q119" s="1232">
        <v>46022</v>
      </c>
      <c r="S119" s="1232"/>
      <c r="T119" s="1223"/>
      <c r="U119" s="1229" t="str">
        <f t="shared" si="42"/>
        <v/>
      </c>
      <c r="V119" s="1229" t="str">
        <f t="shared" si="42"/>
        <v/>
      </c>
      <c r="W119" s="1229" t="str">
        <f t="shared" si="42"/>
        <v/>
      </c>
      <c r="X119" s="1229" t="str">
        <f t="shared" si="42"/>
        <v/>
      </c>
      <c r="Y119" s="1229">
        <f t="shared" si="42"/>
        <v>46022</v>
      </c>
      <c r="Z119" s="1229" t="str">
        <f t="shared" si="42"/>
        <v/>
      </c>
      <c r="AA119" s="1229" t="str">
        <f t="shared" si="42"/>
        <v/>
      </c>
      <c r="AB119" s="1229" t="str">
        <f t="shared" si="42"/>
        <v/>
      </c>
      <c r="AC119" s="1229" t="str">
        <f t="shared" si="42"/>
        <v/>
      </c>
      <c r="AD119" s="1229" t="str">
        <f t="shared" si="42"/>
        <v/>
      </c>
      <c r="AE119" s="1230">
        <f t="shared" si="44"/>
        <v>0</v>
      </c>
      <c r="AF119" s="1230">
        <f t="shared" si="44"/>
        <v>0</v>
      </c>
      <c r="AG119" s="1230">
        <f t="shared" si="44"/>
        <v>0</v>
      </c>
      <c r="AH119" s="1230">
        <f t="shared" si="43"/>
        <v>0</v>
      </c>
      <c r="AI119" s="1230">
        <f t="shared" si="43"/>
        <v>0</v>
      </c>
      <c r="AJ119" s="1230">
        <f t="shared" si="43"/>
        <v>0</v>
      </c>
      <c r="AK119" s="1230">
        <f t="shared" si="43"/>
        <v>0</v>
      </c>
      <c r="AL119" s="1230">
        <f t="shared" si="43"/>
        <v>0</v>
      </c>
      <c r="AM119" s="1230">
        <f t="shared" si="43"/>
        <v>0</v>
      </c>
      <c r="AN119" s="1230">
        <f t="shared" si="33"/>
        <v>0</v>
      </c>
      <c r="AO119" s="1231">
        <f t="shared" si="46"/>
        <v>0</v>
      </c>
      <c r="AP119" s="1231">
        <f t="shared" si="46"/>
        <v>0</v>
      </c>
      <c r="AQ119" s="1231">
        <f t="shared" si="46"/>
        <v>0</v>
      </c>
      <c r="AR119" s="1231">
        <f t="shared" si="46"/>
        <v>0</v>
      </c>
      <c r="AS119" s="1231">
        <f t="shared" si="46"/>
        <v>0</v>
      </c>
      <c r="AT119" s="1231">
        <f t="shared" si="46"/>
        <v>0</v>
      </c>
      <c r="AU119" s="1231">
        <f t="shared" si="45"/>
        <v>0</v>
      </c>
      <c r="AV119" s="1231">
        <f t="shared" si="45"/>
        <v>0</v>
      </c>
      <c r="AW119" s="1231">
        <f t="shared" si="45"/>
        <v>0</v>
      </c>
      <c r="AX119" s="1231">
        <f t="shared" si="45"/>
        <v>0</v>
      </c>
    </row>
    <row r="120" spans="2:50" ht="15" hidden="1" outlineLevel="1" x14ac:dyDescent="0.25">
      <c r="B120" s="1262" t="s">
        <v>831</v>
      </c>
      <c r="C120" s="1225"/>
      <c r="D120" s="1225"/>
      <c r="E120" s="1225"/>
      <c r="F120" s="1225"/>
      <c r="G120" s="1225"/>
      <c r="H120" s="1226">
        <v>0</v>
      </c>
      <c r="I120" s="1226">
        <v>0</v>
      </c>
      <c r="J120" s="1226">
        <v>0</v>
      </c>
      <c r="K120" s="1226">
        <v>0</v>
      </c>
      <c r="L120" s="1226">
        <v>0</v>
      </c>
      <c r="M120" s="1226">
        <v>0</v>
      </c>
      <c r="N120" s="1226">
        <v>0</v>
      </c>
      <c r="O120" s="1227">
        <f t="shared" si="39"/>
        <v>0</v>
      </c>
      <c r="P120" s="1223"/>
      <c r="Q120" s="1232">
        <v>46022</v>
      </c>
      <c r="S120" s="1232"/>
      <c r="T120" s="1223"/>
      <c r="U120" s="1229" t="str">
        <f t="shared" si="42"/>
        <v/>
      </c>
      <c r="V120" s="1229" t="str">
        <f t="shared" si="42"/>
        <v/>
      </c>
      <c r="W120" s="1229" t="str">
        <f t="shared" si="42"/>
        <v/>
      </c>
      <c r="X120" s="1229" t="str">
        <f t="shared" si="42"/>
        <v/>
      </c>
      <c r="Y120" s="1229">
        <f t="shared" si="42"/>
        <v>46022</v>
      </c>
      <c r="Z120" s="1229" t="str">
        <f t="shared" si="42"/>
        <v/>
      </c>
      <c r="AA120" s="1229" t="str">
        <f t="shared" si="42"/>
        <v/>
      </c>
      <c r="AB120" s="1229" t="str">
        <f t="shared" si="42"/>
        <v/>
      </c>
      <c r="AC120" s="1229" t="str">
        <f t="shared" si="42"/>
        <v/>
      </c>
      <c r="AD120" s="1229" t="str">
        <f t="shared" si="42"/>
        <v/>
      </c>
      <c r="AE120" s="1230">
        <f t="shared" si="44"/>
        <v>0</v>
      </c>
      <c r="AF120" s="1230">
        <f t="shared" si="44"/>
        <v>0</v>
      </c>
      <c r="AG120" s="1230">
        <f t="shared" si="44"/>
        <v>0</v>
      </c>
      <c r="AH120" s="1230">
        <f t="shared" si="43"/>
        <v>0</v>
      </c>
      <c r="AI120" s="1230">
        <f t="shared" si="43"/>
        <v>0</v>
      </c>
      <c r="AJ120" s="1230">
        <f t="shared" si="43"/>
        <v>0</v>
      </c>
      <c r="AK120" s="1230">
        <f t="shared" si="43"/>
        <v>0</v>
      </c>
      <c r="AL120" s="1230">
        <f t="shared" si="43"/>
        <v>0</v>
      </c>
      <c r="AM120" s="1230">
        <f t="shared" si="43"/>
        <v>0</v>
      </c>
      <c r="AN120" s="1230">
        <f t="shared" si="33"/>
        <v>0</v>
      </c>
      <c r="AO120" s="1231">
        <f t="shared" si="46"/>
        <v>0</v>
      </c>
      <c r="AP120" s="1231">
        <f t="shared" si="46"/>
        <v>0</v>
      </c>
      <c r="AQ120" s="1231">
        <f t="shared" si="46"/>
        <v>0</v>
      </c>
      <c r="AR120" s="1231">
        <f t="shared" si="46"/>
        <v>0</v>
      </c>
      <c r="AS120" s="1231">
        <f t="shared" si="46"/>
        <v>0</v>
      </c>
      <c r="AT120" s="1231">
        <f t="shared" si="46"/>
        <v>0</v>
      </c>
      <c r="AU120" s="1231">
        <f t="shared" si="45"/>
        <v>0</v>
      </c>
      <c r="AV120" s="1231">
        <f t="shared" si="45"/>
        <v>0</v>
      </c>
      <c r="AW120" s="1231">
        <f t="shared" si="45"/>
        <v>0</v>
      </c>
      <c r="AX120" s="1231">
        <f t="shared" si="45"/>
        <v>0</v>
      </c>
    </row>
    <row r="121" spans="2:50" ht="15" hidden="1" outlineLevel="1" x14ac:dyDescent="0.25">
      <c r="B121" s="1262" t="s">
        <v>832</v>
      </c>
      <c r="C121" s="1225"/>
      <c r="D121" s="1225"/>
      <c r="E121" s="1225"/>
      <c r="F121" s="1225"/>
      <c r="G121" s="1225"/>
      <c r="H121" s="1226">
        <v>0</v>
      </c>
      <c r="I121" s="1226">
        <v>0</v>
      </c>
      <c r="J121" s="1226">
        <v>0</v>
      </c>
      <c r="K121" s="1226">
        <v>0</v>
      </c>
      <c r="L121" s="1226">
        <v>0</v>
      </c>
      <c r="M121" s="1226">
        <v>0</v>
      </c>
      <c r="N121" s="1226">
        <v>0</v>
      </c>
      <c r="O121" s="1227">
        <f t="shared" si="39"/>
        <v>0</v>
      </c>
      <c r="P121" s="1223"/>
      <c r="Q121" s="1232">
        <v>46022</v>
      </c>
      <c r="S121" s="1232"/>
      <c r="T121" s="1223"/>
      <c r="U121" s="1229" t="str">
        <f t="shared" si="42"/>
        <v/>
      </c>
      <c r="V121" s="1229" t="str">
        <f t="shared" si="42"/>
        <v/>
      </c>
      <c r="W121" s="1229" t="str">
        <f t="shared" si="42"/>
        <v/>
      </c>
      <c r="X121" s="1229" t="str">
        <f t="shared" si="42"/>
        <v/>
      </c>
      <c r="Y121" s="1229">
        <f t="shared" si="42"/>
        <v>46022</v>
      </c>
      <c r="Z121" s="1229" t="str">
        <f t="shared" si="42"/>
        <v/>
      </c>
      <c r="AA121" s="1229" t="str">
        <f t="shared" si="42"/>
        <v/>
      </c>
      <c r="AB121" s="1229" t="str">
        <f t="shared" si="42"/>
        <v/>
      </c>
      <c r="AC121" s="1229" t="str">
        <f t="shared" si="42"/>
        <v/>
      </c>
      <c r="AD121" s="1229" t="str">
        <f t="shared" si="42"/>
        <v/>
      </c>
      <c r="AE121" s="1230">
        <f t="shared" si="44"/>
        <v>0</v>
      </c>
      <c r="AF121" s="1230">
        <f t="shared" si="44"/>
        <v>0</v>
      </c>
      <c r="AG121" s="1230">
        <f t="shared" si="44"/>
        <v>0</v>
      </c>
      <c r="AH121" s="1230">
        <f t="shared" si="43"/>
        <v>0</v>
      </c>
      <c r="AI121" s="1230">
        <f t="shared" si="43"/>
        <v>0</v>
      </c>
      <c r="AJ121" s="1230">
        <f t="shared" si="43"/>
        <v>0</v>
      </c>
      <c r="AK121" s="1230">
        <f t="shared" si="43"/>
        <v>0</v>
      </c>
      <c r="AL121" s="1230">
        <f t="shared" si="43"/>
        <v>0</v>
      </c>
      <c r="AM121" s="1230">
        <f t="shared" si="43"/>
        <v>0</v>
      </c>
      <c r="AN121" s="1230">
        <f t="shared" si="33"/>
        <v>0</v>
      </c>
      <c r="AO121" s="1231">
        <f t="shared" si="46"/>
        <v>0</v>
      </c>
      <c r="AP121" s="1231">
        <f t="shared" si="46"/>
        <v>0</v>
      </c>
      <c r="AQ121" s="1231">
        <f t="shared" si="46"/>
        <v>0</v>
      </c>
      <c r="AR121" s="1231">
        <f t="shared" si="46"/>
        <v>0</v>
      </c>
      <c r="AS121" s="1231">
        <f t="shared" si="46"/>
        <v>0</v>
      </c>
      <c r="AT121" s="1231">
        <f t="shared" si="46"/>
        <v>0</v>
      </c>
      <c r="AU121" s="1231">
        <f t="shared" si="45"/>
        <v>0</v>
      </c>
      <c r="AV121" s="1231">
        <f t="shared" si="45"/>
        <v>0</v>
      </c>
      <c r="AW121" s="1231">
        <f t="shared" si="45"/>
        <v>0</v>
      </c>
      <c r="AX121" s="1231">
        <f t="shared" si="45"/>
        <v>0</v>
      </c>
    </row>
    <row r="122" spans="2:50" ht="15" hidden="1" outlineLevel="1" x14ac:dyDescent="0.25">
      <c r="B122" s="1262" t="s">
        <v>833</v>
      </c>
      <c r="C122" s="1225"/>
      <c r="D122" s="1225"/>
      <c r="E122" s="1225"/>
      <c r="F122" s="1225"/>
      <c r="G122" s="1225"/>
      <c r="H122" s="1226">
        <v>0</v>
      </c>
      <c r="I122" s="1226">
        <v>0</v>
      </c>
      <c r="J122" s="1226">
        <v>0</v>
      </c>
      <c r="K122" s="1226">
        <v>0</v>
      </c>
      <c r="L122" s="1226">
        <v>0</v>
      </c>
      <c r="M122" s="1226">
        <v>0</v>
      </c>
      <c r="N122" s="1226">
        <v>0</v>
      </c>
      <c r="O122" s="1227">
        <f t="shared" si="39"/>
        <v>0</v>
      </c>
      <c r="P122" s="1223"/>
      <c r="Q122" s="1232">
        <v>46387</v>
      </c>
      <c r="S122" s="1232"/>
      <c r="T122" s="1223"/>
      <c r="U122" s="1229" t="str">
        <f t="shared" si="42"/>
        <v/>
      </c>
      <c r="V122" s="1229" t="str">
        <f t="shared" si="42"/>
        <v/>
      </c>
      <c r="W122" s="1229" t="str">
        <f t="shared" si="42"/>
        <v/>
      </c>
      <c r="X122" s="1229" t="str">
        <f t="shared" si="42"/>
        <v/>
      </c>
      <c r="Y122" s="1229" t="str">
        <f t="shared" si="42"/>
        <v/>
      </c>
      <c r="Z122" s="1229">
        <f t="shared" si="42"/>
        <v>46387</v>
      </c>
      <c r="AA122" s="1229" t="str">
        <f t="shared" si="42"/>
        <v/>
      </c>
      <c r="AB122" s="1229" t="str">
        <f t="shared" si="42"/>
        <v/>
      </c>
      <c r="AC122" s="1229" t="str">
        <f t="shared" si="42"/>
        <v/>
      </c>
      <c r="AD122" s="1229" t="str">
        <f t="shared" si="42"/>
        <v/>
      </c>
      <c r="AE122" s="1230">
        <f t="shared" si="44"/>
        <v>0</v>
      </c>
      <c r="AF122" s="1230">
        <f t="shared" si="44"/>
        <v>0</v>
      </c>
      <c r="AG122" s="1230">
        <f t="shared" si="44"/>
        <v>0</v>
      </c>
      <c r="AH122" s="1230">
        <f t="shared" si="43"/>
        <v>0</v>
      </c>
      <c r="AI122" s="1230">
        <f t="shared" si="43"/>
        <v>0</v>
      </c>
      <c r="AJ122" s="1230">
        <f t="shared" si="43"/>
        <v>0</v>
      </c>
      <c r="AK122" s="1230">
        <f t="shared" si="43"/>
        <v>0</v>
      </c>
      <c r="AL122" s="1230">
        <f t="shared" si="43"/>
        <v>0</v>
      </c>
      <c r="AM122" s="1230">
        <f t="shared" si="43"/>
        <v>0</v>
      </c>
      <c r="AN122" s="1230">
        <f t="shared" si="33"/>
        <v>0</v>
      </c>
      <c r="AO122" s="1231">
        <f t="shared" si="46"/>
        <v>0</v>
      </c>
      <c r="AP122" s="1231">
        <f t="shared" si="46"/>
        <v>0</v>
      </c>
      <c r="AQ122" s="1231">
        <f t="shared" si="46"/>
        <v>0</v>
      </c>
      <c r="AR122" s="1231">
        <f t="shared" si="46"/>
        <v>0</v>
      </c>
      <c r="AS122" s="1231">
        <f t="shared" si="46"/>
        <v>0</v>
      </c>
      <c r="AT122" s="1231">
        <f t="shared" si="46"/>
        <v>0</v>
      </c>
      <c r="AU122" s="1231">
        <f t="shared" si="45"/>
        <v>0</v>
      </c>
      <c r="AV122" s="1231">
        <f t="shared" si="45"/>
        <v>0</v>
      </c>
      <c r="AW122" s="1231">
        <f t="shared" si="45"/>
        <v>0</v>
      </c>
      <c r="AX122" s="1231">
        <f t="shared" si="45"/>
        <v>0</v>
      </c>
    </row>
    <row r="123" spans="2:50" ht="15" hidden="1" outlineLevel="1" x14ac:dyDescent="0.25">
      <c r="B123" s="1262" t="s">
        <v>834</v>
      </c>
      <c r="C123" s="1225"/>
      <c r="D123" s="1225"/>
      <c r="E123" s="1225"/>
      <c r="F123" s="1225"/>
      <c r="G123" s="1225"/>
      <c r="H123" s="1226">
        <v>0</v>
      </c>
      <c r="I123" s="1226">
        <v>0</v>
      </c>
      <c r="J123" s="1226">
        <v>0</v>
      </c>
      <c r="K123" s="1226">
        <v>0</v>
      </c>
      <c r="L123" s="1226">
        <v>0</v>
      </c>
      <c r="M123" s="1226">
        <v>0</v>
      </c>
      <c r="N123" s="1226">
        <v>0</v>
      </c>
      <c r="O123" s="1227">
        <f t="shared" si="39"/>
        <v>0</v>
      </c>
      <c r="P123" s="1223"/>
      <c r="Q123" s="1232">
        <v>46387</v>
      </c>
      <c r="S123" s="1232"/>
      <c r="T123" s="1223"/>
      <c r="U123" s="1229" t="str">
        <f t="shared" si="42"/>
        <v/>
      </c>
      <c r="V123" s="1229" t="str">
        <f t="shared" si="42"/>
        <v/>
      </c>
      <c r="W123" s="1229" t="str">
        <f t="shared" si="42"/>
        <v/>
      </c>
      <c r="X123" s="1229" t="str">
        <f t="shared" si="42"/>
        <v/>
      </c>
      <c r="Y123" s="1229" t="str">
        <f t="shared" si="42"/>
        <v/>
      </c>
      <c r="Z123" s="1229">
        <f t="shared" si="42"/>
        <v>46387</v>
      </c>
      <c r="AA123" s="1229" t="str">
        <f t="shared" si="42"/>
        <v/>
      </c>
      <c r="AB123" s="1229" t="str">
        <f t="shared" si="42"/>
        <v/>
      </c>
      <c r="AC123" s="1229" t="str">
        <f t="shared" si="42"/>
        <v/>
      </c>
      <c r="AD123" s="1229" t="str">
        <f t="shared" si="42"/>
        <v/>
      </c>
      <c r="AE123" s="1230">
        <f t="shared" si="44"/>
        <v>0</v>
      </c>
      <c r="AF123" s="1230">
        <f t="shared" si="44"/>
        <v>0</v>
      </c>
      <c r="AG123" s="1230">
        <f t="shared" si="44"/>
        <v>0</v>
      </c>
      <c r="AH123" s="1230">
        <f t="shared" si="43"/>
        <v>0</v>
      </c>
      <c r="AI123" s="1230">
        <f t="shared" si="43"/>
        <v>0</v>
      </c>
      <c r="AJ123" s="1230">
        <f t="shared" si="43"/>
        <v>0</v>
      </c>
      <c r="AK123" s="1230">
        <f t="shared" si="43"/>
        <v>0</v>
      </c>
      <c r="AL123" s="1230">
        <f t="shared" si="43"/>
        <v>0</v>
      </c>
      <c r="AM123" s="1230">
        <f t="shared" si="43"/>
        <v>0</v>
      </c>
      <c r="AN123" s="1230">
        <f t="shared" si="33"/>
        <v>0</v>
      </c>
      <c r="AO123" s="1231">
        <f t="shared" si="46"/>
        <v>0</v>
      </c>
      <c r="AP123" s="1231">
        <f t="shared" si="46"/>
        <v>0</v>
      </c>
      <c r="AQ123" s="1231">
        <f t="shared" si="46"/>
        <v>0</v>
      </c>
      <c r="AR123" s="1231">
        <f t="shared" si="46"/>
        <v>0</v>
      </c>
      <c r="AS123" s="1231">
        <f t="shared" si="46"/>
        <v>0</v>
      </c>
      <c r="AT123" s="1231">
        <f t="shared" si="46"/>
        <v>0</v>
      </c>
      <c r="AU123" s="1231">
        <f t="shared" si="45"/>
        <v>0</v>
      </c>
      <c r="AV123" s="1231">
        <f t="shared" si="45"/>
        <v>0</v>
      </c>
      <c r="AW123" s="1231">
        <f t="shared" si="45"/>
        <v>0</v>
      </c>
      <c r="AX123" s="1231">
        <f t="shared" si="45"/>
        <v>0</v>
      </c>
    </row>
    <row r="124" spans="2:50" ht="15" hidden="1" outlineLevel="1" x14ac:dyDescent="0.25">
      <c r="B124" s="1262" t="s">
        <v>835</v>
      </c>
      <c r="C124" s="1225"/>
      <c r="D124" s="1225"/>
      <c r="E124" s="1225"/>
      <c r="F124" s="1225"/>
      <c r="G124" s="1225"/>
      <c r="H124" s="1226">
        <v>0</v>
      </c>
      <c r="I124" s="1226">
        <v>0</v>
      </c>
      <c r="J124" s="1226">
        <v>0</v>
      </c>
      <c r="K124" s="1226">
        <v>0</v>
      </c>
      <c r="L124" s="1226">
        <v>0</v>
      </c>
      <c r="M124" s="1226">
        <v>0</v>
      </c>
      <c r="N124" s="1226">
        <v>0</v>
      </c>
      <c r="O124" s="1227">
        <f t="shared" si="39"/>
        <v>0</v>
      </c>
      <c r="P124" s="1223"/>
      <c r="Q124" s="1232">
        <v>46387</v>
      </c>
      <c r="S124" s="1232"/>
      <c r="T124" s="1223"/>
      <c r="U124" s="1229" t="str">
        <f t="shared" si="42"/>
        <v/>
      </c>
      <c r="V124" s="1229" t="str">
        <f t="shared" si="42"/>
        <v/>
      </c>
      <c r="W124" s="1229" t="str">
        <f t="shared" si="42"/>
        <v/>
      </c>
      <c r="X124" s="1229" t="str">
        <f t="shared" si="42"/>
        <v/>
      </c>
      <c r="Y124" s="1229" t="str">
        <f t="shared" si="42"/>
        <v/>
      </c>
      <c r="Z124" s="1229">
        <f t="shared" ref="U124:AD128" si="47">IF(Z$6=YEAR($Q124),$Q124,"")</f>
        <v>46387</v>
      </c>
      <c r="AA124" s="1229" t="str">
        <f t="shared" si="47"/>
        <v/>
      </c>
      <c r="AB124" s="1229" t="str">
        <f t="shared" si="47"/>
        <v/>
      </c>
      <c r="AC124" s="1229" t="str">
        <f t="shared" si="47"/>
        <v/>
      </c>
      <c r="AD124" s="1229" t="str">
        <f t="shared" si="47"/>
        <v/>
      </c>
      <c r="AE124" s="1230">
        <f t="shared" si="44"/>
        <v>0</v>
      </c>
      <c r="AF124" s="1230">
        <f t="shared" si="44"/>
        <v>0</v>
      </c>
      <c r="AG124" s="1230">
        <f t="shared" si="44"/>
        <v>0</v>
      </c>
      <c r="AH124" s="1230">
        <f t="shared" si="43"/>
        <v>0</v>
      </c>
      <c r="AI124" s="1230">
        <f t="shared" si="43"/>
        <v>0</v>
      </c>
      <c r="AJ124" s="1230">
        <f t="shared" si="43"/>
        <v>0</v>
      </c>
      <c r="AK124" s="1230">
        <f t="shared" si="43"/>
        <v>0</v>
      </c>
      <c r="AL124" s="1230">
        <f t="shared" si="43"/>
        <v>0</v>
      </c>
      <c r="AM124" s="1230">
        <f t="shared" si="43"/>
        <v>0</v>
      </c>
      <c r="AN124" s="1230">
        <f t="shared" si="33"/>
        <v>0</v>
      </c>
      <c r="AO124" s="1231">
        <f t="shared" si="46"/>
        <v>0</v>
      </c>
      <c r="AP124" s="1231">
        <f t="shared" si="46"/>
        <v>0</v>
      </c>
      <c r="AQ124" s="1231">
        <f t="shared" si="46"/>
        <v>0</v>
      </c>
      <c r="AR124" s="1231">
        <f t="shared" si="46"/>
        <v>0</v>
      </c>
      <c r="AS124" s="1231">
        <f t="shared" si="46"/>
        <v>0</v>
      </c>
      <c r="AT124" s="1231">
        <f t="shared" si="46"/>
        <v>0</v>
      </c>
      <c r="AU124" s="1231">
        <f t="shared" si="45"/>
        <v>0</v>
      </c>
      <c r="AV124" s="1231">
        <f t="shared" si="45"/>
        <v>0</v>
      </c>
      <c r="AW124" s="1231">
        <f t="shared" si="45"/>
        <v>0</v>
      </c>
      <c r="AX124" s="1231">
        <f t="shared" si="45"/>
        <v>0</v>
      </c>
    </row>
    <row r="125" spans="2:50" ht="15" hidden="1" outlineLevel="1" x14ac:dyDescent="0.25">
      <c r="B125" s="1262" t="s">
        <v>836</v>
      </c>
      <c r="C125" s="1225"/>
      <c r="D125" s="1225"/>
      <c r="E125" s="1225"/>
      <c r="F125" s="1225"/>
      <c r="G125" s="1225"/>
      <c r="H125" s="1264">
        <v>0</v>
      </c>
      <c r="I125" s="1264">
        <v>0</v>
      </c>
      <c r="J125" s="1264">
        <v>0</v>
      </c>
      <c r="K125" s="1264">
        <v>0</v>
      </c>
      <c r="L125" s="1264">
        <v>0</v>
      </c>
      <c r="M125" s="1264">
        <v>0</v>
      </c>
      <c r="N125" s="1264">
        <v>0</v>
      </c>
      <c r="O125" s="1227">
        <f t="shared" si="39"/>
        <v>0</v>
      </c>
      <c r="P125" s="1223"/>
      <c r="R125" s="1232" t="s">
        <v>837</v>
      </c>
      <c r="S125" s="1232"/>
      <c r="T125" s="1223"/>
      <c r="U125" s="1229" t="str">
        <f t="shared" si="47"/>
        <v/>
      </c>
      <c r="V125" s="1229" t="str">
        <f t="shared" si="47"/>
        <v/>
      </c>
      <c r="W125" s="1229" t="str">
        <f t="shared" si="47"/>
        <v/>
      </c>
      <c r="X125" s="1239">
        <v>45657</v>
      </c>
      <c r="Y125" s="1239"/>
      <c r="Z125" s="1239"/>
      <c r="AA125" s="1229" t="str">
        <f t="shared" si="47"/>
        <v/>
      </c>
      <c r="AB125" s="1229" t="str">
        <f t="shared" si="47"/>
        <v/>
      </c>
      <c r="AC125" s="1229" t="str">
        <f t="shared" si="47"/>
        <v/>
      </c>
      <c r="AD125" s="1229" t="str">
        <f t="shared" si="47"/>
        <v/>
      </c>
      <c r="AE125" s="1230">
        <f t="shared" si="44"/>
        <v>0</v>
      </c>
      <c r="AF125" s="1230">
        <f t="shared" si="44"/>
        <v>0</v>
      </c>
      <c r="AG125" s="1230">
        <f t="shared" si="44"/>
        <v>0</v>
      </c>
      <c r="AH125" s="1230">
        <f t="shared" si="43"/>
        <v>0</v>
      </c>
      <c r="AI125" s="1230">
        <f t="shared" si="43"/>
        <v>0</v>
      </c>
      <c r="AJ125" s="1230">
        <f t="shared" si="43"/>
        <v>0</v>
      </c>
      <c r="AK125" s="1230">
        <f t="shared" si="43"/>
        <v>0</v>
      </c>
      <c r="AL125" s="1230">
        <f t="shared" si="43"/>
        <v>0</v>
      </c>
      <c r="AM125" s="1230">
        <f t="shared" si="43"/>
        <v>0</v>
      </c>
      <c r="AN125" s="1230">
        <f t="shared" si="33"/>
        <v>0</v>
      </c>
      <c r="AO125" s="1231">
        <f t="shared" si="46"/>
        <v>0</v>
      </c>
      <c r="AP125" s="1231">
        <f t="shared" si="46"/>
        <v>0</v>
      </c>
      <c r="AQ125" s="1231">
        <f t="shared" si="46"/>
        <v>0</v>
      </c>
      <c r="AR125" s="1231">
        <f t="shared" si="46"/>
        <v>0</v>
      </c>
      <c r="AS125" s="1231">
        <f t="shared" si="46"/>
        <v>0</v>
      </c>
      <c r="AT125" s="1231">
        <f t="shared" si="46"/>
        <v>0</v>
      </c>
      <c r="AU125" s="1231">
        <f t="shared" si="45"/>
        <v>0</v>
      </c>
      <c r="AV125" s="1231">
        <f t="shared" si="45"/>
        <v>0</v>
      </c>
      <c r="AW125" s="1231">
        <f t="shared" si="45"/>
        <v>0</v>
      </c>
      <c r="AX125" s="1231">
        <f t="shared" si="45"/>
        <v>0</v>
      </c>
    </row>
    <row r="126" spans="2:50" ht="15" hidden="1" outlineLevel="1" x14ac:dyDescent="0.25">
      <c r="B126" s="1262" t="s">
        <v>838</v>
      </c>
      <c r="C126" s="1225"/>
      <c r="D126" s="1225"/>
      <c r="E126" s="1225"/>
      <c r="F126" s="1225"/>
      <c r="G126" s="1265"/>
      <c r="H126" s="1264">
        <v>0</v>
      </c>
      <c r="I126" s="1264">
        <v>0</v>
      </c>
      <c r="J126" s="1264">
        <v>0</v>
      </c>
      <c r="K126" s="1264">
        <v>0</v>
      </c>
      <c r="L126" s="1264">
        <v>0</v>
      </c>
      <c r="M126" s="1264">
        <v>0</v>
      </c>
      <c r="N126" s="1264">
        <v>0</v>
      </c>
      <c r="O126" s="1227">
        <f t="shared" si="39"/>
        <v>0</v>
      </c>
      <c r="P126" s="1223"/>
      <c r="R126" s="1232" t="s">
        <v>839</v>
      </c>
      <c r="S126" s="1232"/>
      <c r="T126" s="1223"/>
      <c r="U126" s="1229" t="str">
        <f t="shared" si="47"/>
        <v/>
      </c>
      <c r="V126" s="1229" t="str">
        <f t="shared" si="47"/>
        <v/>
      </c>
      <c r="W126" s="1229" t="str">
        <f t="shared" si="47"/>
        <v/>
      </c>
      <c r="X126" s="1239">
        <v>45657</v>
      </c>
      <c r="Y126" s="1239">
        <v>46022</v>
      </c>
      <c r="Z126" s="1239"/>
      <c r="AA126" s="1229" t="str">
        <f t="shared" si="47"/>
        <v/>
      </c>
      <c r="AB126" s="1229" t="str">
        <f t="shared" si="47"/>
        <v/>
      </c>
      <c r="AC126" s="1229" t="str">
        <f t="shared" si="47"/>
        <v/>
      </c>
      <c r="AD126" s="1229" t="str">
        <f t="shared" si="47"/>
        <v/>
      </c>
      <c r="AE126" s="1230">
        <f t="shared" si="44"/>
        <v>0</v>
      </c>
      <c r="AF126" s="1230">
        <f t="shared" si="44"/>
        <v>0</v>
      </c>
      <c r="AG126" s="1230">
        <f t="shared" si="44"/>
        <v>0</v>
      </c>
      <c r="AH126" s="1230">
        <f t="shared" si="43"/>
        <v>0</v>
      </c>
      <c r="AI126" s="1230">
        <f t="shared" si="43"/>
        <v>0</v>
      </c>
      <c r="AJ126" s="1230">
        <f t="shared" si="43"/>
        <v>0</v>
      </c>
      <c r="AK126" s="1230">
        <f t="shared" si="43"/>
        <v>0</v>
      </c>
      <c r="AL126" s="1230">
        <f t="shared" si="43"/>
        <v>0</v>
      </c>
      <c r="AM126" s="1230">
        <f t="shared" si="43"/>
        <v>0</v>
      </c>
      <c r="AN126" s="1230">
        <f t="shared" si="33"/>
        <v>0</v>
      </c>
      <c r="AO126" s="1231">
        <f t="shared" si="46"/>
        <v>0</v>
      </c>
      <c r="AP126" s="1231">
        <f t="shared" si="46"/>
        <v>0</v>
      </c>
      <c r="AQ126" s="1231">
        <f t="shared" si="46"/>
        <v>0</v>
      </c>
      <c r="AR126" s="1231">
        <f t="shared" si="46"/>
        <v>0</v>
      </c>
      <c r="AS126" s="1231">
        <f t="shared" si="46"/>
        <v>0</v>
      </c>
      <c r="AT126" s="1231">
        <f t="shared" si="46"/>
        <v>0</v>
      </c>
      <c r="AU126" s="1231">
        <f t="shared" si="45"/>
        <v>0</v>
      </c>
      <c r="AV126" s="1231">
        <f t="shared" si="45"/>
        <v>0</v>
      </c>
      <c r="AW126" s="1231">
        <f t="shared" si="45"/>
        <v>0</v>
      </c>
      <c r="AX126" s="1231">
        <f t="shared" si="45"/>
        <v>0</v>
      </c>
    </row>
    <row r="127" spans="2:50" ht="15" hidden="1" outlineLevel="1" x14ac:dyDescent="0.25">
      <c r="B127" s="1262" t="s">
        <v>840</v>
      </c>
      <c r="C127" s="1225"/>
      <c r="D127" s="1225"/>
      <c r="E127" s="1225"/>
      <c r="F127" s="1225"/>
      <c r="G127" s="1265"/>
      <c r="H127" s="1264">
        <v>0</v>
      </c>
      <c r="I127" s="1264">
        <v>0</v>
      </c>
      <c r="J127" s="1264">
        <v>0</v>
      </c>
      <c r="K127" s="1264">
        <v>0</v>
      </c>
      <c r="L127" s="1264">
        <v>0</v>
      </c>
      <c r="M127" s="1264">
        <v>0</v>
      </c>
      <c r="N127" s="1264">
        <v>0</v>
      </c>
      <c r="O127" s="1227">
        <f t="shared" si="39"/>
        <v>0</v>
      </c>
      <c r="P127" s="1223"/>
      <c r="R127" s="1232" t="s">
        <v>789</v>
      </c>
      <c r="S127" s="1232"/>
      <c r="T127" s="1223"/>
      <c r="U127" s="1229" t="str">
        <f t="shared" si="47"/>
        <v/>
      </c>
      <c r="V127" s="1229" t="str">
        <f t="shared" si="47"/>
        <v/>
      </c>
      <c r="W127" s="1229" t="str">
        <f t="shared" si="47"/>
        <v/>
      </c>
      <c r="X127" s="1239">
        <v>45657</v>
      </c>
      <c r="Y127" s="1239">
        <v>46022</v>
      </c>
      <c r="Z127" s="1229" t="str">
        <f t="shared" si="47"/>
        <v/>
      </c>
      <c r="AA127" s="1229" t="str">
        <f t="shared" si="47"/>
        <v/>
      </c>
      <c r="AB127" s="1229" t="str">
        <f t="shared" si="47"/>
        <v/>
      </c>
      <c r="AC127" s="1229" t="str">
        <f t="shared" si="47"/>
        <v/>
      </c>
      <c r="AD127" s="1229" t="str">
        <f t="shared" si="47"/>
        <v/>
      </c>
      <c r="AE127" s="1230">
        <f t="shared" si="44"/>
        <v>0</v>
      </c>
      <c r="AF127" s="1230">
        <f t="shared" si="44"/>
        <v>0</v>
      </c>
      <c r="AG127" s="1230">
        <f t="shared" si="44"/>
        <v>0</v>
      </c>
      <c r="AH127" s="1230">
        <f t="shared" si="43"/>
        <v>0</v>
      </c>
      <c r="AI127" s="1230">
        <f t="shared" si="43"/>
        <v>0</v>
      </c>
      <c r="AJ127" s="1230">
        <f t="shared" si="43"/>
        <v>0</v>
      </c>
      <c r="AK127" s="1230">
        <f t="shared" si="43"/>
        <v>0</v>
      </c>
      <c r="AL127" s="1230">
        <f t="shared" si="43"/>
        <v>0</v>
      </c>
      <c r="AM127" s="1230">
        <f t="shared" si="43"/>
        <v>0</v>
      </c>
      <c r="AN127" s="1230">
        <f t="shared" si="33"/>
        <v>0</v>
      </c>
      <c r="AO127" s="1231">
        <f t="shared" si="46"/>
        <v>0</v>
      </c>
      <c r="AP127" s="1231">
        <f t="shared" si="46"/>
        <v>0</v>
      </c>
      <c r="AQ127" s="1231">
        <f t="shared" si="46"/>
        <v>0</v>
      </c>
      <c r="AR127" s="1231">
        <f t="shared" si="46"/>
        <v>0</v>
      </c>
      <c r="AS127" s="1231">
        <f t="shared" si="46"/>
        <v>0</v>
      </c>
      <c r="AT127" s="1231">
        <f t="shared" si="46"/>
        <v>0</v>
      </c>
      <c r="AU127" s="1231">
        <f t="shared" si="45"/>
        <v>0</v>
      </c>
      <c r="AV127" s="1231">
        <f t="shared" si="45"/>
        <v>0</v>
      </c>
      <c r="AW127" s="1231">
        <f t="shared" si="45"/>
        <v>0</v>
      </c>
      <c r="AX127" s="1231">
        <f t="shared" si="45"/>
        <v>0</v>
      </c>
    </row>
    <row r="128" spans="2:50" ht="15" hidden="1" outlineLevel="1" x14ac:dyDescent="0.25">
      <c r="B128" s="1262" t="s">
        <v>841</v>
      </c>
      <c r="C128" s="1225"/>
      <c r="D128" s="1225"/>
      <c r="E128" s="1225"/>
      <c r="F128" s="1225"/>
      <c r="G128" s="1265"/>
      <c r="H128" s="1264">
        <v>0</v>
      </c>
      <c r="I128" s="1264">
        <v>0</v>
      </c>
      <c r="J128" s="1264">
        <v>0</v>
      </c>
      <c r="K128" s="1264">
        <v>0</v>
      </c>
      <c r="L128" s="1264">
        <v>0</v>
      </c>
      <c r="M128" s="1264">
        <v>0</v>
      </c>
      <c r="N128" s="1264">
        <v>0</v>
      </c>
      <c r="O128" s="1227">
        <f t="shared" si="39"/>
        <v>0</v>
      </c>
      <c r="P128" s="1223"/>
      <c r="R128" s="1232" t="s">
        <v>842</v>
      </c>
      <c r="S128" s="1232"/>
      <c r="T128" s="1223"/>
      <c r="U128" s="1229" t="str">
        <f t="shared" si="47"/>
        <v/>
      </c>
      <c r="V128" s="1229" t="str">
        <f t="shared" si="47"/>
        <v/>
      </c>
      <c r="W128" s="1229" t="str">
        <f t="shared" si="47"/>
        <v/>
      </c>
      <c r="X128" s="1239">
        <v>45657</v>
      </c>
      <c r="Y128" s="1239">
        <v>46022</v>
      </c>
      <c r="Z128" s="1239">
        <v>46387</v>
      </c>
      <c r="AA128" s="1229" t="str">
        <f t="shared" si="47"/>
        <v/>
      </c>
      <c r="AB128" s="1229" t="str">
        <f t="shared" si="47"/>
        <v/>
      </c>
      <c r="AC128" s="1229" t="str">
        <f t="shared" si="47"/>
        <v/>
      </c>
      <c r="AD128" s="1229" t="str">
        <f t="shared" si="47"/>
        <v/>
      </c>
      <c r="AE128" s="1230">
        <f t="shared" si="44"/>
        <v>0</v>
      </c>
      <c r="AF128" s="1230">
        <f t="shared" si="44"/>
        <v>0</v>
      </c>
      <c r="AG128" s="1230">
        <f t="shared" si="44"/>
        <v>0</v>
      </c>
      <c r="AH128" s="1230">
        <f t="shared" si="43"/>
        <v>0</v>
      </c>
      <c r="AI128" s="1230">
        <f t="shared" si="43"/>
        <v>0</v>
      </c>
      <c r="AJ128" s="1230">
        <f t="shared" si="43"/>
        <v>0</v>
      </c>
      <c r="AK128" s="1230">
        <f t="shared" si="43"/>
        <v>0</v>
      </c>
      <c r="AL128" s="1230">
        <f t="shared" si="43"/>
        <v>0</v>
      </c>
      <c r="AM128" s="1230">
        <f t="shared" si="43"/>
        <v>0</v>
      </c>
      <c r="AN128" s="1230">
        <f t="shared" si="33"/>
        <v>0</v>
      </c>
      <c r="AO128" s="1231">
        <f t="shared" si="46"/>
        <v>0</v>
      </c>
      <c r="AP128" s="1231">
        <f t="shared" si="46"/>
        <v>0</v>
      </c>
      <c r="AQ128" s="1231">
        <f t="shared" si="46"/>
        <v>0</v>
      </c>
      <c r="AR128" s="1231">
        <f t="shared" si="46"/>
        <v>0</v>
      </c>
      <c r="AS128" s="1231">
        <f t="shared" si="46"/>
        <v>0</v>
      </c>
      <c r="AT128" s="1231">
        <f t="shared" si="46"/>
        <v>0</v>
      </c>
      <c r="AU128" s="1231">
        <f t="shared" si="45"/>
        <v>0</v>
      </c>
      <c r="AV128" s="1231">
        <f t="shared" si="45"/>
        <v>0</v>
      </c>
      <c r="AW128" s="1231">
        <f t="shared" si="45"/>
        <v>0</v>
      </c>
      <c r="AX128" s="1231">
        <f t="shared" si="45"/>
        <v>0</v>
      </c>
    </row>
    <row r="129" spans="1:50" ht="15" hidden="1" outlineLevel="1" x14ac:dyDescent="0.25">
      <c r="B129" s="1249"/>
      <c r="C129" s="1225"/>
      <c r="D129" s="1225"/>
      <c r="E129" s="1225"/>
      <c r="F129" s="1225"/>
      <c r="G129" s="1225"/>
      <c r="H129" s="1225"/>
      <c r="I129" s="1225"/>
      <c r="J129" s="1225"/>
      <c r="K129" s="1225"/>
      <c r="L129" s="1225"/>
      <c r="M129" s="1225"/>
      <c r="N129" s="1225"/>
      <c r="O129" s="1227">
        <f t="shared" si="39"/>
        <v>0</v>
      </c>
      <c r="P129" s="1223"/>
      <c r="Q129" s="1232"/>
      <c r="S129" s="1232"/>
      <c r="T129" s="1223"/>
      <c r="U129" s="1238"/>
      <c r="V129" s="1229"/>
      <c r="W129" s="1229"/>
      <c r="X129" s="1229"/>
      <c r="Y129" s="1238"/>
      <c r="Z129" s="1232"/>
      <c r="AA129" s="1238"/>
      <c r="AB129" s="1238"/>
      <c r="AC129" s="1238"/>
      <c r="AD129" s="1238"/>
      <c r="AE129" s="1230">
        <f t="shared" si="44"/>
        <v>0</v>
      </c>
      <c r="AF129" s="1230">
        <f t="shared" si="44"/>
        <v>0</v>
      </c>
      <c r="AG129" s="1230">
        <f t="shared" si="44"/>
        <v>0</v>
      </c>
      <c r="AH129" s="1230">
        <f t="shared" si="43"/>
        <v>0</v>
      </c>
      <c r="AI129" s="1230">
        <f t="shared" si="43"/>
        <v>0</v>
      </c>
      <c r="AJ129" s="1230">
        <f t="shared" si="43"/>
        <v>0</v>
      </c>
      <c r="AK129" s="1230">
        <f t="shared" si="43"/>
        <v>0</v>
      </c>
      <c r="AL129" s="1230">
        <f t="shared" si="43"/>
        <v>0</v>
      </c>
      <c r="AM129" s="1230">
        <f t="shared" si="43"/>
        <v>0</v>
      </c>
      <c r="AN129" s="1230">
        <f t="shared" si="33"/>
        <v>0</v>
      </c>
    </row>
    <row r="130" spans="1:50" s="1269" customFormat="1" ht="15" hidden="1" collapsed="1" x14ac:dyDescent="0.25">
      <c r="A130" s="1266">
        <f>+A116+1</f>
        <v>1</v>
      </c>
      <c r="B130" s="1256" t="s">
        <v>650</v>
      </c>
      <c r="C130" s="1257"/>
      <c r="D130" s="1257"/>
      <c r="E130" s="1257"/>
      <c r="F130" s="1257"/>
      <c r="G130" s="1257"/>
      <c r="H130" s="1257">
        <f t="shared" ref="H130:N130" si="48">+SUM(H131:H134)</f>
        <v>0</v>
      </c>
      <c r="I130" s="1257">
        <f>+SUM(I131:I134)</f>
        <v>0</v>
      </c>
      <c r="J130" s="1257">
        <f t="shared" si="48"/>
        <v>0</v>
      </c>
      <c r="K130" s="1257">
        <f t="shared" si="48"/>
        <v>0</v>
      </c>
      <c r="L130" s="1257">
        <f t="shared" si="48"/>
        <v>0</v>
      </c>
      <c r="M130" s="1257">
        <f t="shared" si="48"/>
        <v>0</v>
      </c>
      <c r="N130" s="1257">
        <f t="shared" si="48"/>
        <v>0</v>
      </c>
      <c r="O130" s="1257">
        <f t="shared" si="29"/>
        <v>0</v>
      </c>
      <c r="P130" s="1257"/>
      <c r="Q130" s="1267"/>
      <c r="R130" s="1266"/>
      <c r="S130" s="1267"/>
      <c r="T130" s="1257"/>
      <c r="U130" s="1268"/>
      <c r="V130" s="1268"/>
      <c r="W130" s="1268"/>
      <c r="X130" s="1268"/>
      <c r="Y130" s="1268"/>
      <c r="Z130" s="1268"/>
      <c r="AA130" s="1268"/>
      <c r="AB130" s="1268"/>
      <c r="AC130" s="1268"/>
      <c r="AD130" s="1268"/>
      <c r="AE130" s="1230">
        <f t="shared" si="44"/>
        <v>0</v>
      </c>
      <c r="AF130" s="1230">
        <f t="shared" si="44"/>
        <v>0</v>
      </c>
      <c r="AG130" s="1230">
        <f t="shared" si="44"/>
        <v>0</v>
      </c>
      <c r="AH130" s="1230">
        <f t="shared" si="43"/>
        <v>0</v>
      </c>
      <c r="AI130" s="1230">
        <f t="shared" si="43"/>
        <v>0</v>
      </c>
      <c r="AJ130" s="1230">
        <f t="shared" si="43"/>
        <v>0</v>
      </c>
      <c r="AK130" s="1230">
        <f t="shared" si="43"/>
        <v>0</v>
      </c>
      <c r="AL130" s="1230">
        <f t="shared" si="43"/>
        <v>0</v>
      </c>
      <c r="AM130" s="1230">
        <f t="shared" si="43"/>
        <v>0</v>
      </c>
      <c r="AN130" s="1230">
        <f t="shared" si="33"/>
        <v>0</v>
      </c>
    </row>
    <row r="131" spans="1:50" ht="15" hidden="1" outlineLevel="1" x14ac:dyDescent="0.25">
      <c r="B131" s="1249" t="s">
        <v>843</v>
      </c>
      <c r="C131" s="1225"/>
      <c r="D131" s="1225"/>
      <c r="E131" s="1225"/>
      <c r="F131" s="1225"/>
      <c r="G131" s="1225"/>
      <c r="H131" s="1226">
        <v>0</v>
      </c>
      <c r="I131" s="1226">
        <v>0</v>
      </c>
      <c r="J131" s="1226">
        <v>0</v>
      </c>
      <c r="K131" s="1226">
        <v>0</v>
      </c>
      <c r="L131" s="1226">
        <v>0</v>
      </c>
      <c r="M131" s="1226">
        <v>0</v>
      </c>
      <c r="N131" s="1226">
        <v>0</v>
      </c>
      <c r="O131" s="1223">
        <f t="shared" si="29"/>
        <v>0</v>
      </c>
      <c r="P131" s="1223"/>
      <c r="Q131" s="1232">
        <v>46387</v>
      </c>
      <c r="R131" s="1218"/>
      <c r="S131" s="1232"/>
      <c r="T131" s="1223"/>
      <c r="U131" s="1229" t="str">
        <f t="shared" ref="U131:AD133" si="49">IF(U$6=YEAR($Q131),$Q131,"")</f>
        <v/>
      </c>
      <c r="V131" s="1229" t="str">
        <f t="shared" si="49"/>
        <v/>
      </c>
      <c r="W131" s="1229" t="str">
        <f t="shared" si="49"/>
        <v/>
      </c>
      <c r="X131" s="1229" t="str">
        <f t="shared" si="49"/>
        <v/>
      </c>
      <c r="Y131" s="1229" t="str">
        <f t="shared" si="49"/>
        <v/>
      </c>
      <c r="Z131" s="1229">
        <f t="shared" si="49"/>
        <v>46387</v>
      </c>
      <c r="AA131" s="1229" t="str">
        <f t="shared" si="49"/>
        <v/>
      </c>
      <c r="AB131" s="1229" t="str">
        <f t="shared" si="49"/>
        <v/>
      </c>
      <c r="AC131" s="1229" t="str">
        <f t="shared" si="49"/>
        <v/>
      </c>
      <c r="AD131" s="1229" t="str">
        <f t="shared" si="49"/>
        <v/>
      </c>
      <c r="AE131" s="1230">
        <f t="shared" si="44"/>
        <v>0</v>
      </c>
      <c r="AF131" s="1230">
        <f t="shared" si="44"/>
        <v>0</v>
      </c>
      <c r="AG131" s="1230">
        <f t="shared" si="44"/>
        <v>0</v>
      </c>
      <c r="AH131" s="1230">
        <f t="shared" si="43"/>
        <v>0</v>
      </c>
      <c r="AI131" s="1230">
        <f t="shared" si="43"/>
        <v>0</v>
      </c>
      <c r="AJ131" s="1230">
        <f t="shared" si="43"/>
        <v>0</v>
      </c>
      <c r="AK131" s="1230">
        <f t="shared" si="43"/>
        <v>0</v>
      </c>
      <c r="AL131" s="1230">
        <f t="shared" si="43"/>
        <v>0</v>
      </c>
      <c r="AM131" s="1230">
        <f t="shared" si="43"/>
        <v>0</v>
      </c>
      <c r="AN131" s="1230">
        <f t="shared" si="33"/>
        <v>0</v>
      </c>
      <c r="AO131" s="1231">
        <f t="shared" ref="AO131:AX133" si="50">AE131*E131</f>
        <v>0</v>
      </c>
      <c r="AP131" s="1231">
        <f t="shared" si="50"/>
        <v>0</v>
      </c>
      <c r="AQ131" s="1231">
        <f t="shared" si="50"/>
        <v>0</v>
      </c>
      <c r="AR131" s="1231">
        <f t="shared" si="50"/>
        <v>0</v>
      </c>
      <c r="AS131" s="1231">
        <f t="shared" si="50"/>
        <v>0</v>
      </c>
      <c r="AT131" s="1231">
        <f t="shared" si="50"/>
        <v>0</v>
      </c>
      <c r="AU131" s="1231">
        <f t="shared" si="50"/>
        <v>0</v>
      </c>
      <c r="AV131" s="1231">
        <f t="shared" si="50"/>
        <v>0</v>
      </c>
      <c r="AW131" s="1231">
        <f t="shared" si="50"/>
        <v>0</v>
      </c>
      <c r="AX131" s="1231">
        <f t="shared" si="50"/>
        <v>0</v>
      </c>
    </row>
    <row r="132" spans="1:50" ht="15" hidden="1" outlineLevel="1" x14ac:dyDescent="0.25">
      <c r="B132" s="1249" t="s">
        <v>844</v>
      </c>
      <c r="C132" s="1225"/>
      <c r="D132" s="1225"/>
      <c r="E132" s="1225"/>
      <c r="F132" s="1225"/>
      <c r="G132" s="1225"/>
      <c r="H132" s="1226">
        <v>0</v>
      </c>
      <c r="I132" s="1226">
        <v>0</v>
      </c>
      <c r="J132" s="1226">
        <v>0</v>
      </c>
      <c r="K132" s="1226">
        <v>0</v>
      </c>
      <c r="L132" s="1226">
        <v>0</v>
      </c>
      <c r="M132" s="1226">
        <v>0</v>
      </c>
      <c r="N132" s="1226">
        <v>0</v>
      </c>
      <c r="O132" s="1223">
        <f t="shared" si="29"/>
        <v>0</v>
      </c>
      <c r="P132" s="1223"/>
      <c r="Q132" s="1232">
        <v>46752</v>
      </c>
      <c r="R132" s="1218"/>
      <c r="S132" s="1232"/>
      <c r="T132" s="1223"/>
      <c r="U132" s="1229" t="str">
        <f t="shared" si="49"/>
        <v/>
      </c>
      <c r="V132" s="1229" t="str">
        <f t="shared" si="49"/>
        <v/>
      </c>
      <c r="W132" s="1229" t="str">
        <f t="shared" si="49"/>
        <v/>
      </c>
      <c r="X132" s="1229" t="str">
        <f t="shared" si="49"/>
        <v/>
      </c>
      <c r="Y132" s="1229" t="str">
        <f t="shared" si="49"/>
        <v/>
      </c>
      <c r="Z132" s="1229" t="str">
        <f t="shared" si="49"/>
        <v/>
      </c>
      <c r="AA132" s="1229">
        <f t="shared" si="49"/>
        <v>46752</v>
      </c>
      <c r="AB132" s="1229" t="str">
        <f t="shared" si="49"/>
        <v/>
      </c>
      <c r="AC132" s="1229" t="str">
        <f t="shared" si="49"/>
        <v/>
      </c>
      <c r="AD132" s="1229" t="str">
        <f t="shared" si="49"/>
        <v/>
      </c>
      <c r="AE132" s="1230">
        <f t="shared" si="44"/>
        <v>0</v>
      </c>
      <c r="AF132" s="1230">
        <f t="shared" si="44"/>
        <v>0</v>
      </c>
      <c r="AG132" s="1230">
        <f t="shared" si="44"/>
        <v>0</v>
      </c>
      <c r="AH132" s="1230">
        <f t="shared" si="43"/>
        <v>0</v>
      </c>
      <c r="AI132" s="1230">
        <f t="shared" si="43"/>
        <v>0</v>
      </c>
      <c r="AJ132" s="1230">
        <f t="shared" si="43"/>
        <v>0</v>
      </c>
      <c r="AK132" s="1230">
        <f t="shared" si="43"/>
        <v>0</v>
      </c>
      <c r="AL132" s="1230">
        <f t="shared" si="43"/>
        <v>0</v>
      </c>
      <c r="AM132" s="1230">
        <f t="shared" si="43"/>
        <v>0</v>
      </c>
      <c r="AN132" s="1230">
        <f t="shared" si="33"/>
        <v>0</v>
      </c>
      <c r="AO132" s="1231">
        <f t="shared" si="50"/>
        <v>0</v>
      </c>
      <c r="AP132" s="1231">
        <f t="shared" si="50"/>
        <v>0</v>
      </c>
      <c r="AQ132" s="1231">
        <f t="shared" si="50"/>
        <v>0</v>
      </c>
      <c r="AR132" s="1231">
        <f t="shared" si="50"/>
        <v>0</v>
      </c>
      <c r="AS132" s="1231">
        <f t="shared" si="50"/>
        <v>0</v>
      </c>
      <c r="AT132" s="1231">
        <f t="shared" si="50"/>
        <v>0</v>
      </c>
      <c r="AU132" s="1231">
        <f t="shared" si="50"/>
        <v>0</v>
      </c>
      <c r="AV132" s="1231">
        <f t="shared" si="50"/>
        <v>0</v>
      </c>
      <c r="AW132" s="1231">
        <f t="shared" si="50"/>
        <v>0</v>
      </c>
      <c r="AX132" s="1231">
        <f t="shared" si="50"/>
        <v>0</v>
      </c>
    </row>
    <row r="133" spans="1:50" ht="15" hidden="1" outlineLevel="1" x14ac:dyDescent="0.25">
      <c r="B133" s="1249" t="s">
        <v>845</v>
      </c>
      <c r="C133" s="1225"/>
      <c r="D133" s="1225"/>
      <c r="E133" s="1225"/>
      <c r="F133" s="1225"/>
      <c r="G133" s="1225"/>
      <c r="H133" s="1226">
        <v>0</v>
      </c>
      <c r="I133" s="1226">
        <v>0</v>
      </c>
      <c r="J133" s="1226">
        <v>0</v>
      </c>
      <c r="K133" s="1226">
        <v>0</v>
      </c>
      <c r="L133" s="1226">
        <v>0</v>
      </c>
      <c r="M133" s="1226">
        <v>0</v>
      </c>
      <c r="N133" s="1226">
        <v>0</v>
      </c>
      <c r="O133" s="1223">
        <f t="shared" si="29"/>
        <v>0</v>
      </c>
      <c r="P133" s="1223"/>
      <c r="Q133" s="1232">
        <v>47483</v>
      </c>
      <c r="R133" s="1218"/>
      <c r="S133" s="1232"/>
      <c r="T133" s="1223"/>
      <c r="U133" s="1229" t="str">
        <f t="shared" si="49"/>
        <v/>
      </c>
      <c r="V133" s="1229" t="str">
        <f t="shared" si="49"/>
        <v/>
      </c>
      <c r="W133" s="1229" t="str">
        <f t="shared" si="49"/>
        <v/>
      </c>
      <c r="X133" s="1229" t="str">
        <f t="shared" si="49"/>
        <v/>
      </c>
      <c r="Y133" s="1229" t="str">
        <f t="shared" si="49"/>
        <v/>
      </c>
      <c r="Z133" s="1229" t="str">
        <f t="shared" si="49"/>
        <v/>
      </c>
      <c r="AA133" s="1229" t="str">
        <f t="shared" si="49"/>
        <v/>
      </c>
      <c r="AB133" s="1229" t="str">
        <f t="shared" si="49"/>
        <v/>
      </c>
      <c r="AC133" s="1229">
        <f t="shared" si="49"/>
        <v>47483</v>
      </c>
      <c r="AD133" s="1229" t="str">
        <f t="shared" si="49"/>
        <v/>
      </c>
      <c r="AE133" s="1230">
        <f t="shared" si="44"/>
        <v>0</v>
      </c>
      <c r="AF133" s="1230">
        <f t="shared" si="44"/>
        <v>0</v>
      </c>
      <c r="AG133" s="1230">
        <f t="shared" si="44"/>
        <v>0</v>
      </c>
      <c r="AH133" s="1230">
        <f t="shared" si="43"/>
        <v>0</v>
      </c>
      <c r="AI133" s="1230">
        <f t="shared" si="43"/>
        <v>0</v>
      </c>
      <c r="AJ133" s="1230">
        <f t="shared" si="43"/>
        <v>0</v>
      </c>
      <c r="AK133" s="1230">
        <f t="shared" si="43"/>
        <v>0</v>
      </c>
      <c r="AL133" s="1230">
        <f t="shared" si="43"/>
        <v>0</v>
      </c>
      <c r="AM133" s="1230">
        <f t="shared" si="43"/>
        <v>0</v>
      </c>
      <c r="AN133" s="1230">
        <f t="shared" si="33"/>
        <v>0</v>
      </c>
      <c r="AO133" s="1231">
        <f t="shared" si="50"/>
        <v>0</v>
      </c>
      <c r="AP133" s="1231">
        <f t="shared" si="50"/>
        <v>0</v>
      </c>
      <c r="AQ133" s="1231">
        <f t="shared" si="50"/>
        <v>0</v>
      </c>
      <c r="AR133" s="1231">
        <f t="shared" si="50"/>
        <v>0</v>
      </c>
      <c r="AS133" s="1231">
        <f t="shared" si="50"/>
        <v>0</v>
      </c>
      <c r="AT133" s="1231">
        <f t="shared" si="50"/>
        <v>0</v>
      </c>
      <c r="AU133" s="1231">
        <f t="shared" si="50"/>
        <v>0</v>
      </c>
      <c r="AV133" s="1231">
        <f t="shared" si="50"/>
        <v>0</v>
      </c>
      <c r="AW133" s="1231">
        <f t="shared" si="50"/>
        <v>0</v>
      </c>
      <c r="AX133" s="1231">
        <f t="shared" si="50"/>
        <v>0</v>
      </c>
    </row>
    <row r="134" spans="1:50" ht="15" hidden="1" customHeight="1" outlineLevel="1" x14ac:dyDescent="0.2">
      <c r="B134" s="1249"/>
      <c r="C134" s="1270"/>
      <c r="D134" s="1270"/>
      <c r="E134" s="1270"/>
      <c r="F134" s="1270"/>
      <c r="G134" s="1270"/>
      <c r="H134" s="1235"/>
      <c r="I134" s="1235"/>
      <c r="J134" s="1235"/>
      <c r="K134" s="1235"/>
      <c r="L134" s="1270"/>
      <c r="M134" s="1270"/>
      <c r="N134" s="1270"/>
      <c r="O134" s="1223">
        <f t="shared" si="29"/>
        <v>0</v>
      </c>
      <c r="P134" s="1223"/>
      <c r="Q134" s="1232"/>
      <c r="R134" s="1218"/>
      <c r="S134" s="1232"/>
      <c r="T134" s="1223"/>
      <c r="U134" s="1238"/>
      <c r="V134" s="1238"/>
      <c r="W134" s="1229"/>
      <c r="X134" s="1229"/>
      <c r="Y134" s="1229"/>
      <c r="Z134" s="1238"/>
      <c r="AA134" s="1238"/>
      <c r="AB134" s="1238"/>
      <c r="AC134" s="1238"/>
      <c r="AD134" s="1238"/>
      <c r="AE134" s="1230">
        <f t="shared" si="44"/>
        <v>0</v>
      </c>
      <c r="AF134" s="1230">
        <f t="shared" si="44"/>
        <v>0</v>
      </c>
      <c r="AG134" s="1230">
        <f t="shared" si="44"/>
        <v>0</v>
      </c>
      <c r="AH134" s="1230">
        <f t="shared" si="43"/>
        <v>0</v>
      </c>
      <c r="AI134" s="1230">
        <f t="shared" si="43"/>
        <v>0</v>
      </c>
      <c r="AJ134" s="1230">
        <f t="shared" si="43"/>
        <v>0</v>
      </c>
      <c r="AK134" s="1230">
        <f t="shared" si="43"/>
        <v>0</v>
      </c>
      <c r="AL134" s="1230">
        <f t="shared" si="43"/>
        <v>0</v>
      </c>
      <c r="AM134" s="1230">
        <f t="shared" si="43"/>
        <v>0</v>
      </c>
      <c r="AN134" s="1230">
        <f t="shared" si="33"/>
        <v>0</v>
      </c>
    </row>
    <row r="135" spans="1:50" outlineLevel="1" x14ac:dyDescent="0.2">
      <c r="B135" s="1249"/>
      <c r="C135" s="1270"/>
      <c r="D135" s="1270"/>
      <c r="E135" s="1270"/>
      <c r="F135" s="1270"/>
      <c r="G135" s="1270"/>
      <c r="H135" s="1270"/>
      <c r="I135" s="1270"/>
      <c r="J135" s="1270"/>
      <c r="K135" s="1270"/>
      <c r="L135" s="1270"/>
      <c r="M135" s="1270"/>
      <c r="N135" s="1270"/>
      <c r="O135" s="1223">
        <f t="shared" si="29"/>
        <v>0</v>
      </c>
      <c r="P135" s="1223"/>
      <c r="Q135" s="1232"/>
      <c r="R135" s="1218"/>
      <c r="S135" s="1232"/>
      <c r="T135" s="1223"/>
      <c r="U135" s="1238"/>
      <c r="V135" s="1238"/>
      <c r="W135" s="1238"/>
      <c r="X135" s="1238"/>
      <c r="Y135" s="1238"/>
      <c r="Z135" s="1238"/>
      <c r="AA135" s="1238"/>
      <c r="AB135" s="1238"/>
      <c r="AC135" s="1238"/>
      <c r="AD135" s="1238"/>
      <c r="AE135" s="1230">
        <f t="shared" si="44"/>
        <v>0</v>
      </c>
      <c r="AF135" s="1230">
        <f t="shared" si="44"/>
        <v>0</v>
      </c>
      <c r="AG135" s="1230">
        <f t="shared" si="44"/>
        <v>0</v>
      </c>
      <c r="AH135" s="1230">
        <f t="shared" si="43"/>
        <v>0</v>
      </c>
      <c r="AI135" s="1230">
        <f t="shared" si="43"/>
        <v>0</v>
      </c>
      <c r="AJ135" s="1230">
        <f t="shared" si="43"/>
        <v>0</v>
      </c>
      <c r="AK135" s="1230">
        <f t="shared" si="43"/>
        <v>0</v>
      </c>
      <c r="AL135" s="1230">
        <f t="shared" si="43"/>
        <v>0</v>
      </c>
      <c r="AM135" s="1230">
        <f t="shared" si="43"/>
        <v>0</v>
      </c>
      <c r="AN135" s="1230">
        <f t="shared" si="33"/>
        <v>0</v>
      </c>
    </row>
    <row r="136" spans="1:50" s="1260" customFormat="1" ht="15" x14ac:dyDescent="0.25">
      <c r="A136" s="1255">
        <f>+A135+1</f>
        <v>1</v>
      </c>
      <c r="B136" s="1266" t="s">
        <v>651</v>
      </c>
      <c r="C136" s="1257"/>
      <c r="D136" s="1257"/>
      <c r="E136" s="1257"/>
      <c r="F136" s="1257"/>
      <c r="G136" s="1257"/>
      <c r="H136" s="1257">
        <f t="shared" ref="H136:N136" si="51">SUM(H137:H149)</f>
        <v>0</v>
      </c>
      <c r="I136" s="1257">
        <f t="shared" si="51"/>
        <v>12687.898440000001</v>
      </c>
      <c r="J136" s="1257">
        <f t="shared" si="51"/>
        <v>0</v>
      </c>
      <c r="K136" s="1257">
        <f t="shared" si="51"/>
        <v>5129.0559999999996</v>
      </c>
      <c r="L136" s="1257">
        <f t="shared" si="51"/>
        <v>0</v>
      </c>
      <c r="M136" s="1257">
        <f t="shared" si="51"/>
        <v>0</v>
      </c>
      <c r="N136" s="1257">
        <f t="shared" si="51"/>
        <v>0</v>
      </c>
      <c r="O136" s="1257">
        <f t="shared" si="29"/>
        <v>17816.954440000001</v>
      </c>
      <c r="P136" s="1258"/>
      <c r="Q136" s="1259"/>
      <c r="S136" s="1259"/>
      <c r="T136" s="1258"/>
      <c r="U136" s="1261"/>
      <c r="V136" s="1261"/>
      <c r="W136" s="1261"/>
      <c r="X136" s="1261"/>
      <c r="Y136" s="1261"/>
      <c r="Z136" s="1261"/>
      <c r="AA136" s="1261"/>
      <c r="AB136" s="1261"/>
      <c r="AC136" s="1261"/>
      <c r="AD136" s="1261"/>
      <c r="AE136" s="1230">
        <f t="shared" si="44"/>
        <v>0</v>
      </c>
      <c r="AF136" s="1230">
        <f t="shared" si="44"/>
        <v>0</v>
      </c>
      <c r="AG136" s="1230">
        <f t="shared" si="44"/>
        <v>0</v>
      </c>
      <c r="AH136" s="1230">
        <f t="shared" si="43"/>
        <v>0</v>
      </c>
      <c r="AI136" s="1230">
        <f t="shared" si="43"/>
        <v>0</v>
      </c>
      <c r="AJ136" s="1230">
        <f t="shared" si="43"/>
        <v>0</v>
      </c>
      <c r="AK136" s="1230">
        <f t="shared" si="43"/>
        <v>0</v>
      </c>
      <c r="AL136" s="1230">
        <f t="shared" si="43"/>
        <v>0</v>
      </c>
      <c r="AM136" s="1230">
        <f t="shared" si="43"/>
        <v>0</v>
      </c>
      <c r="AN136" s="1230">
        <f t="shared" si="33"/>
        <v>0</v>
      </c>
    </row>
    <row r="137" spans="1:50" ht="15" outlineLevel="1" x14ac:dyDescent="0.25">
      <c r="A137" s="1218">
        <v>1</v>
      </c>
      <c r="B137" s="1271" t="s">
        <v>846</v>
      </c>
      <c r="C137" s="1225"/>
      <c r="D137" s="1225"/>
      <c r="E137" s="1225"/>
      <c r="F137" s="1225"/>
      <c r="G137" s="1225"/>
      <c r="H137" s="1226">
        <v>0</v>
      </c>
      <c r="I137" s="1226">
        <v>0</v>
      </c>
      <c r="J137" s="1226">
        <v>0</v>
      </c>
      <c r="K137" s="1226">
        <v>0</v>
      </c>
      <c r="L137" s="1226">
        <v>0</v>
      </c>
      <c r="M137" s="1226">
        <v>0</v>
      </c>
      <c r="N137" s="1226">
        <v>0</v>
      </c>
      <c r="O137" s="1227">
        <f t="shared" ref="O137:O145" si="52">SUM(C137:N137)</f>
        <v>0</v>
      </c>
      <c r="P137" s="1223"/>
      <c r="Q137" s="1232">
        <v>45291</v>
      </c>
      <c r="R137" s="1218"/>
      <c r="S137" s="1232"/>
      <c r="T137" s="1223"/>
      <c r="U137" s="1229" t="str">
        <f t="shared" ref="U137:AD145" si="53">IF(U$6=YEAR($Q137),$Q137,"")</f>
        <v/>
      </c>
      <c r="V137" s="1229" t="str">
        <f t="shared" si="53"/>
        <v/>
      </c>
      <c r="W137" s="1229">
        <f t="shared" si="53"/>
        <v>45291</v>
      </c>
      <c r="X137" s="1229" t="str">
        <f t="shared" si="53"/>
        <v/>
      </c>
      <c r="Y137" s="1229" t="str">
        <f t="shared" si="53"/>
        <v/>
      </c>
      <c r="Z137" s="1229" t="str">
        <f t="shared" si="53"/>
        <v/>
      </c>
      <c r="AA137" s="1229" t="str">
        <f t="shared" si="53"/>
        <v/>
      </c>
      <c r="AB137" s="1229" t="str">
        <f t="shared" si="53"/>
        <v/>
      </c>
      <c r="AC137" s="1229" t="str">
        <f t="shared" si="53"/>
        <v/>
      </c>
      <c r="AD137" s="1229" t="str">
        <f t="shared" si="53"/>
        <v/>
      </c>
      <c r="AE137" s="1230">
        <f t="shared" si="44"/>
        <v>0</v>
      </c>
      <c r="AF137" s="1230">
        <f t="shared" si="44"/>
        <v>0</v>
      </c>
      <c r="AG137" s="1230">
        <f t="shared" si="44"/>
        <v>0</v>
      </c>
      <c r="AH137" s="1230">
        <f t="shared" si="43"/>
        <v>0</v>
      </c>
      <c r="AI137" s="1230">
        <f t="shared" si="43"/>
        <v>0</v>
      </c>
      <c r="AJ137" s="1230">
        <f t="shared" si="43"/>
        <v>0</v>
      </c>
      <c r="AK137" s="1230">
        <f t="shared" si="43"/>
        <v>0</v>
      </c>
      <c r="AL137" s="1230">
        <f t="shared" si="43"/>
        <v>0</v>
      </c>
      <c r="AM137" s="1230">
        <f t="shared" si="43"/>
        <v>0</v>
      </c>
      <c r="AN137" s="1230">
        <f t="shared" si="33"/>
        <v>0</v>
      </c>
    </row>
    <row r="138" spans="1:50" ht="15" outlineLevel="1" x14ac:dyDescent="0.25">
      <c r="A138" s="1218">
        <v>2</v>
      </c>
      <c r="B138" s="1271" t="s">
        <v>847</v>
      </c>
      <c r="C138" s="1225"/>
      <c r="D138" s="1225"/>
      <c r="E138" s="1225"/>
      <c r="F138" s="1225"/>
      <c r="G138" s="1225"/>
      <c r="H138" s="1226">
        <v>0</v>
      </c>
      <c r="I138" s="1226">
        <v>0</v>
      </c>
      <c r="J138" s="1226">
        <v>0</v>
      </c>
      <c r="K138" s="1226">
        <v>0</v>
      </c>
      <c r="L138" s="1226">
        <v>0</v>
      </c>
      <c r="M138" s="1226">
        <v>0</v>
      </c>
      <c r="N138" s="1226">
        <v>0</v>
      </c>
      <c r="O138" s="1227">
        <f t="shared" si="52"/>
        <v>0</v>
      </c>
      <c r="P138" s="1223"/>
      <c r="Q138" s="1232">
        <v>45291</v>
      </c>
      <c r="R138" s="1218"/>
      <c r="S138" s="1232"/>
      <c r="T138" s="1223"/>
      <c r="U138" s="1229" t="str">
        <f t="shared" si="53"/>
        <v/>
      </c>
      <c r="V138" s="1229" t="str">
        <f t="shared" si="53"/>
        <v/>
      </c>
      <c r="W138" s="1229">
        <f t="shared" si="53"/>
        <v>45291</v>
      </c>
      <c r="X138" s="1229" t="str">
        <f t="shared" si="53"/>
        <v/>
      </c>
      <c r="Y138" s="1229" t="str">
        <f t="shared" si="53"/>
        <v/>
      </c>
      <c r="Z138" s="1229" t="str">
        <f t="shared" si="53"/>
        <v/>
      </c>
      <c r="AA138" s="1229" t="str">
        <f t="shared" si="53"/>
        <v/>
      </c>
      <c r="AB138" s="1229" t="str">
        <f t="shared" si="53"/>
        <v/>
      </c>
      <c r="AC138" s="1229" t="str">
        <f t="shared" si="53"/>
        <v/>
      </c>
      <c r="AD138" s="1229" t="str">
        <f t="shared" si="53"/>
        <v/>
      </c>
      <c r="AE138" s="1230">
        <f t="shared" si="44"/>
        <v>0</v>
      </c>
      <c r="AF138" s="1230">
        <f t="shared" si="44"/>
        <v>0</v>
      </c>
      <c r="AG138" s="1230">
        <f t="shared" si="44"/>
        <v>0</v>
      </c>
      <c r="AH138" s="1230">
        <f t="shared" si="43"/>
        <v>0</v>
      </c>
      <c r="AI138" s="1230">
        <f t="shared" si="43"/>
        <v>0</v>
      </c>
      <c r="AJ138" s="1230">
        <f t="shared" si="43"/>
        <v>0</v>
      </c>
      <c r="AK138" s="1230">
        <f t="shared" si="43"/>
        <v>0</v>
      </c>
      <c r="AL138" s="1230">
        <f t="shared" si="43"/>
        <v>0</v>
      </c>
      <c r="AM138" s="1230">
        <f t="shared" si="43"/>
        <v>0</v>
      </c>
      <c r="AN138" s="1230">
        <f t="shared" si="43"/>
        <v>0</v>
      </c>
    </row>
    <row r="139" spans="1:50" ht="15" outlineLevel="1" x14ac:dyDescent="0.25">
      <c r="A139" s="1218">
        <v>3</v>
      </c>
      <c r="B139" s="1271" t="s">
        <v>848</v>
      </c>
      <c r="C139" s="1225"/>
      <c r="D139" s="1225"/>
      <c r="E139" s="1225"/>
      <c r="F139" s="1225"/>
      <c r="G139" s="1225"/>
      <c r="H139" s="1226">
        <v>0</v>
      </c>
      <c r="I139" s="1226">
        <v>0</v>
      </c>
      <c r="J139" s="1226">
        <v>0</v>
      </c>
      <c r="K139" s="1226">
        <v>0</v>
      </c>
      <c r="L139" s="1226">
        <v>0</v>
      </c>
      <c r="M139" s="1226">
        <v>0</v>
      </c>
      <c r="N139" s="1226">
        <v>0</v>
      </c>
      <c r="O139" s="1227">
        <f t="shared" si="52"/>
        <v>0</v>
      </c>
      <c r="P139" s="1223"/>
      <c r="Q139" s="1232">
        <v>45291</v>
      </c>
      <c r="R139" s="1218"/>
      <c r="S139" s="1232"/>
      <c r="T139" s="1223"/>
      <c r="U139" s="1229" t="str">
        <f t="shared" si="53"/>
        <v/>
      </c>
      <c r="V139" s="1229" t="str">
        <f t="shared" si="53"/>
        <v/>
      </c>
      <c r="W139" s="1229">
        <f t="shared" si="53"/>
        <v>45291</v>
      </c>
      <c r="X139" s="1229" t="str">
        <f t="shared" si="53"/>
        <v/>
      </c>
      <c r="Y139" s="1229" t="str">
        <f t="shared" si="53"/>
        <v/>
      </c>
      <c r="Z139" s="1229" t="str">
        <f t="shared" si="53"/>
        <v/>
      </c>
      <c r="AA139" s="1229" t="str">
        <f t="shared" si="53"/>
        <v/>
      </c>
      <c r="AB139" s="1229" t="str">
        <f t="shared" si="53"/>
        <v/>
      </c>
      <c r="AC139" s="1229" t="str">
        <f t="shared" si="53"/>
        <v/>
      </c>
      <c r="AD139" s="1229" t="str">
        <f t="shared" si="53"/>
        <v/>
      </c>
      <c r="AE139" s="1230">
        <f t="shared" si="44"/>
        <v>0</v>
      </c>
      <c r="AF139" s="1230">
        <f t="shared" si="44"/>
        <v>0</v>
      </c>
      <c r="AG139" s="1230">
        <f t="shared" si="44"/>
        <v>0</v>
      </c>
      <c r="AH139" s="1230">
        <f t="shared" si="43"/>
        <v>0</v>
      </c>
      <c r="AI139" s="1230">
        <f t="shared" si="43"/>
        <v>0</v>
      </c>
      <c r="AJ139" s="1230">
        <f t="shared" si="43"/>
        <v>0</v>
      </c>
      <c r="AK139" s="1230">
        <f t="shared" si="43"/>
        <v>0</v>
      </c>
      <c r="AL139" s="1230">
        <f t="shared" si="43"/>
        <v>0</v>
      </c>
      <c r="AM139" s="1230">
        <f t="shared" si="43"/>
        <v>0</v>
      </c>
      <c r="AN139" s="1230">
        <f t="shared" si="43"/>
        <v>0</v>
      </c>
    </row>
    <row r="140" spans="1:50" ht="15" outlineLevel="1" x14ac:dyDescent="0.25">
      <c r="A140" s="1218">
        <v>4</v>
      </c>
      <c r="B140" s="1271" t="s">
        <v>849</v>
      </c>
      <c r="C140" s="1225"/>
      <c r="D140" s="1225"/>
      <c r="E140" s="1225"/>
      <c r="F140" s="1225"/>
      <c r="G140" s="1225"/>
      <c r="H140" s="1226">
        <v>0</v>
      </c>
      <c r="I140" s="1226">
        <v>0</v>
      </c>
      <c r="J140" s="1226">
        <v>0</v>
      </c>
      <c r="K140" s="1226">
        <v>0</v>
      </c>
      <c r="L140" s="1226">
        <v>0</v>
      </c>
      <c r="M140" s="1226">
        <v>0</v>
      </c>
      <c r="N140" s="1226">
        <v>0</v>
      </c>
      <c r="O140" s="1227">
        <f t="shared" si="52"/>
        <v>0</v>
      </c>
      <c r="P140" s="1223"/>
      <c r="Q140" s="1232">
        <v>45291</v>
      </c>
      <c r="R140" s="1218"/>
      <c r="S140" s="1232"/>
      <c r="T140" s="1223"/>
      <c r="U140" s="1229" t="str">
        <f t="shared" si="53"/>
        <v/>
      </c>
      <c r="V140" s="1229" t="str">
        <f t="shared" si="53"/>
        <v/>
      </c>
      <c r="W140" s="1229">
        <f t="shared" si="53"/>
        <v>45291</v>
      </c>
      <c r="X140" s="1229" t="str">
        <f t="shared" si="53"/>
        <v/>
      </c>
      <c r="Y140" s="1229" t="str">
        <f t="shared" si="53"/>
        <v/>
      </c>
      <c r="Z140" s="1229" t="str">
        <f t="shared" si="53"/>
        <v/>
      </c>
      <c r="AA140" s="1229" t="str">
        <f t="shared" si="53"/>
        <v/>
      </c>
      <c r="AB140" s="1229" t="str">
        <f t="shared" si="53"/>
        <v/>
      </c>
      <c r="AC140" s="1229" t="str">
        <f t="shared" si="53"/>
        <v/>
      </c>
      <c r="AD140" s="1229" t="str">
        <f t="shared" si="53"/>
        <v/>
      </c>
      <c r="AE140" s="1230">
        <f t="shared" si="44"/>
        <v>0</v>
      </c>
      <c r="AF140" s="1230">
        <f t="shared" si="44"/>
        <v>0</v>
      </c>
      <c r="AG140" s="1230">
        <f t="shared" si="44"/>
        <v>0</v>
      </c>
      <c r="AH140" s="1230">
        <f t="shared" si="43"/>
        <v>0</v>
      </c>
      <c r="AI140" s="1230">
        <f t="shared" si="43"/>
        <v>0</v>
      </c>
      <c r="AJ140" s="1230">
        <f t="shared" si="43"/>
        <v>0</v>
      </c>
      <c r="AK140" s="1230">
        <f t="shared" si="43"/>
        <v>0</v>
      </c>
      <c r="AL140" s="1230">
        <f t="shared" si="43"/>
        <v>0</v>
      </c>
      <c r="AM140" s="1230">
        <f t="shared" si="43"/>
        <v>0</v>
      </c>
      <c r="AN140" s="1230">
        <f t="shared" si="43"/>
        <v>0</v>
      </c>
    </row>
    <row r="141" spans="1:50" ht="15" outlineLevel="1" x14ac:dyDescent="0.25">
      <c r="A141" s="1218">
        <v>5</v>
      </c>
      <c r="B141" s="1271" t="s">
        <v>711</v>
      </c>
      <c r="C141" s="1225"/>
      <c r="D141" s="1225"/>
      <c r="E141" s="1225"/>
      <c r="F141" s="1225"/>
      <c r="G141" s="1225"/>
      <c r="H141" s="1226">
        <v>0</v>
      </c>
      <c r="I141" s="1226">
        <v>0</v>
      </c>
      <c r="J141" s="1226">
        <v>0</v>
      </c>
      <c r="K141" s="1226">
        <v>0</v>
      </c>
      <c r="L141" s="1226">
        <v>0</v>
      </c>
      <c r="M141" s="1226">
        <v>0</v>
      </c>
      <c r="N141" s="1226">
        <v>0</v>
      </c>
      <c r="O141" s="1227">
        <f t="shared" si="52"/>
        <v>0</v>
      </c>
      <c r="P141" s="1223"/>
      <c r="Q141" s="1232">
        <v>45291</v>
      </c>
      <c r="R141" s="1218"/>
      <c r="S141" s="1232"/>
      <c r="T141" s="1223"/>
      <c r="U141" s="1229" t="str">
        <f t="shared" si="53"/>
        <v/>
      </c>
      <c r="V141" s="1229" t="str">
        <f t="shared" si="53"/>
        <v/>
      </c>
      <c r="W141" s="1229">
        <f t="shared" si="53"/>
        <v>45291</v>
      </c>
      <c r="X141" s="1229" t="str">
        <f t="shared" si="53"/>
        <v/>
      </c>
      <c r="Y141" s="1229" t="str">
        <f t="shared" si="53"/>
        <v/>
      </c>
      <c r="Z141" s="1229" t="str">
        <f t="shared" si="53"/>
        <v/>
      </c>
      <c r="AA141" s="1229" t="str">
        <f t="shared" si="53"/>
        <v/>
      </c>
      <c r="AB141" s="1229" t="str">
        <f t="shared" si="53"/>
        <v/>
      </c>
      <c r="AC141" s="1229" t="str">
        <f t="shared" si="53"/>
        <v/>
      </c>
      <c r="AD141" s="1229" t="str">
        <f t="shared" si="53"/>
        <v/>
      </c>
      <c r="AE141" s="1230">
        <f t="shared" si="44"/>
        <v>0</v>
      </c>
      <c r="AF141" s="1230">
        <f t="shared" si="44"/>
        <v>0</v>
      </c>
      <c r="AG141" s="1230">
        <f t="shared" si="44"/>
        <v>0</v>
      </c>
      <c r="AH141" s="1230">
        <f t="shared" si="43"/>
        <v>0</v>
      </c>
      <c r="AI141" s="1230">
        <f t="shared" si="43"/>
        <v>0</v>
      </c>
      <c r="AJ141" s="1230">
        <f t="shared" si="43"/>
        <v>0</v>
      </c>
      <c r="AK141" s="1230">
        <f t="shared" si="43"/>
        <v>0</v>
      </c>
      <c r="AL141" s="1230">
        <f t="shared" si="43"/>
        <v>0</v>
      </c>
      <c r="AM141" s="1230">
        <f t="shared" si="43"/>
        <v>0</v>
      </c>
      <c r="AN141" s="1230">
        <f t="shared" si="43"/>
        <v>0</v>
      </c>
    </row>
    <row r="142" spans="1:50" ht="15" outlineLevel="1" x14ac:dyDescent="0.25">
      <c r="A142" s="1218">
        <v>6</v>
      </c>
      <c r="B142" s="1271" t="s">
        <v>712</v>
      </c>
      <c r="C142" s="1225"/>
      <c r="D142" s="1225"/>
      <c r="E142" s="1225"/>
      <c r="F142" s="1225"/>
      <c r="G142" s="1225"/>
      <c r="H142" s="1226">
        <v>0</v>
      </c>
      <c r="I142" s="1226">
        <v>0</v>
      </c>
      <c r="J142" s="1226">
        <v>0</v>
      </c>
      <c r="K142" s="1226">
        <v>0</v>
      </c>
      <c r="L142" s="1226">
        <v>0</v>
      </c>
      <c r="M142" s="1226">
        <v>0</v>
      </c>
      <c r="N142" s="1226">
        <v>0</v>
      </c>
      <c r="O142" s="1227">
        <f t="shared" si="52"/>
        <v>0</v>
      </c>
      <c r="P142" s="1223"/>
      <c r="Q142" s="1232">
        <v>45291</v>
      </c>
      <c r="R142" s="1218"/>
      <c r="S142" s="1232"/>
      <c r="T142" s="1223"/>
      <c r="U142" s="1229" t="str">
        <f t="shared" si="53"/>
        <v/>
      </c>
      <c r="V142" s="1229" t="str">
        <f t="shared" si="53"/>
        <v/>
      </c>
      <c r="W142" s="1229">
        <f t="shared" si="53"/>
        <v>45291</v>
      </c>
      <c r="X142" s="1229" t="str">
        <f t="shared" si="53"/>
        <v/>
      </c>
      <c r="Y142" s="1229" t="str">
        <f t="shared" si="53"/>
        <v/>
      </c>
      <c r="Z142" s="1229" t="str">
        <f t="shared" si="53"/>
        <v/>
      </c>
      <c r="AA142" s="1229" t="str">
        <f t="shared" si="53"/>
        <v/>
      </c>
      <c r="AB142" s="1229" t="str">
        <f t="shared" si="53"/>
        <v/>
      </c>
      <c r="AC142" s="1229" t="str">
        <f t="shared" si="53"/>
        <v/>
      </c>
      <c r="AD142" s="1229" t="str">
        <f t="shared" si="53"/>
        <v/>
      </c>
      <c r="AE142" s="1230">
        <f t="shared" si="44"/>
        <v>0</v>
      </c>
      <c r="AF142" s="1230">
        <f t="shared" si="44"/>
        <v>0</v>
      </c>
      <c r="AG142" s="1230">
        <f t="shared" si="44"/>
        <v>0</v>
      </c>
      <c r="AH142" s="1230">
        <f t="shared" si="43"/>
        <v>0</v>
      </c>
      <c r="AI142" s="1230">
        <f t="shared" si="43"/>
        <v>0</v>
      </c>
      <c r="AJ142" s="1230">
        <f t="shared" si="43"/>
        <v>0</v>
      </c>
      <c r="AK142" s="1230">
        <f t="shared" si="43"/>
        <v>0</v>
      </c>
      <c r="AL142" s="1230">
        <f t="shared" si="43"/>
        <v>0</v>
      </c>
      <c r="AM142" s="1230">
        <f t="shared" si="43"/>
        <v>0</v>
      </c>
      <c r="AN142" s="1230">
        <f t="shared" si="43"/>
        <v>0</v>
      </c>
    </row>
    <row r="143" spans="1:50" ht="15" outlineLevel="1" x14ac:dyDescent="0.25">
      <c r="A143" s="1218">
        <v>7</v>
      </c>
      <c r="B143" s="1271" t="s">
        <v>850</v>
      </c>
      <c r="C143" s="1225"/>
      <c r="D143" s="1225"/>
      <c r="E143" s="1225"/>
      <c r="F143" s="1225"/>
      <c r="G143" s="1225"/>
      <c r="H143" s="1272"/>
      <c r="I143" s="1272">
        <v>12687.898440000001</v>
      </c>
      <c r="J143" s="1226">
        <v>0</v>
      </c>
      <c r="K143" s="1226">
        <v>0</v>
      </c>
      <c r="L143" s="1226">
        <v>0</v>
      </c>
      <c r="M143" s="1226">
        <v>0</v>
      </c>
      <c r="N143" s="1226">
        <v>0</v>
      </c>
      <c r="O143" s="1227">
        <f t="shared" si="52"/>
        <v>12687.898440000001</v>
      </c>
      <c r="P143" s="1223"/>
      <c r="Q143" s="1273">
        <v>45868</v>
      </c>
      <c r="R143" s="1218"/>
      <c r="S143" s="1232"/>
      <c r="T143" s="1223"/>
      <c r="U143" s="1229" t="str">
        <f t="shared" si="53"/>
        <v/>
      </c>
      <c r="V143" s="1229" t="str">
        <f t="shared" si="53"/>
        <v/>
      </c>
      <c r="W143" s="1229" t="str">
        <f t="shared" si="53"/>
        <v/>
      </c>
      <c r="X143" s="1229" t="str">
        <f t="shared" si="53"/>
        <v/>
      </c>
      <c r="Y143" s="1229">
        <f t="shared" si="53"/>
        <v>45868</v>
      </c>
      <c r="Z143" s="1229" t="str">
        <f t="shared" si="53"/>
        <v/>
      </c>
      <c r="AA143" s="1229" t="str">
        <f t="shared" si="53"/>
        <v/>
      </c>
      <c r="AB143" s="1229" t="str">
        <f t="shared" si="53"/>
        <v/>
      </c>
      <c r="AC143" s="1229" t="str">
        <f t="shared" si="53"/>
        <v/>
      </c>
      <c r="AD143" s="1229" t="str">
        <f t="shared" si="53"/>
        <v/>
      </c>
      <c r="AE143" s="1230">
        <f t="shared" si="44"/>
        <v>0</v>
      </c>
      <c r="AF143" s="1230">
        <f t="shared" si="44"/>
        <v>0</v>
      </c>
      <c r="AG143" s="1230">
        <f t="shared" si="44"/>
        <v>0</v>
      </c>
      <c r="AH143" s="1230">
        <f t="shared" si="43"/>
        <v>0</v>
      </c>
      <c r="AI143" s="1230">
        <f t="shared" si="43"/>
        <v>0.42191780821917807</v>
      </c>
      <c r="AJ143" s="1230">
        <f t="shared" si="43"/>
        <v>0</v>
      </c>
      <c r="AK143" s="1230">
        <f t="shared" si="43"/>
        <v>0</v>
      </c>
      <c r="AL143" s="1230">
        <f t="shared" si="43"/>
        <v>0</v>
      </c>
      <c r="AM143" s="1230">
        <f t="shared" si="43"/>
        <v>0</v>
      </c>
      <c r="AN143" s="1230">
        <f t="shared" si="43"/>
        <v>0</v>
      </c>
    </row>
    <row r="144" spans="1:50" ht="15" outlineLevel="1" x14ac:dyDescent="0.25">
      <c r="B144" s="1271" t="s">
        <v>652</v>
      </c>
      <c r="C144" s="1225"/>
      <c r="D144" s="1225"/>
      <c r="E144" s="1225"/>
      <c r="F144" s="1225"/>
      <c r="G144" s="1225"/>
      <c r="H144" s="1226">
        <v>0</v>
      </c>
      <c r="I144" s="1226">
        <v>0</v>
      </c>
      <c r="J144" s="1226">
        <v>0</v>
      </c>
      <c r="K144" s="1226">
        <v>5129.0559999999996</v>
      </c>
      <c r="L144" s="1226">
        <v>0</v>
      </c>
      <c r="M144" s="1226">
        <v>0</v>
      </c>
      <c r="N144" s="1226">
        <v>0</v>
      </c>
      <c r="O144" s="1227">
        <f t="shared" si="52"/>
        <v>5129.0559999999996</v>
      </c>
      <c r="P144" s="1223"/>
      <c r="Q144" s="1232">
        <v>46752</v>
      </c>
      <c r="R144" s="1218"/>
      <c r="S144" s="1232"/>
      <c r="T144" s="1223"/>
      <c r="U144" s="1229" t="str">
        <f t="shared" si="53"/>
        <v/>
      </c>
      <c r="V144" s="1229" t="str">
        <f t="shared" si="53"/>
        <v/>
      </c>
      <c r="W144" s="1229" t="str">
        <f t="shared" si="53"/>
        <v/>
      </c>
      <c r="X144" s="1229" t="str">
        <f t="shared" si="53"/>
        <v/>
      </c>
      <c r="Y144" s="1229" t="str">
        <f t="shared" si="53"/>
        <v/>
      </c>
      <c r="Z144" s="1229" t="str">
        <f t="shared" si="53"/>
        <v/>
      </c>
      <c r="AA144" s="1229">
        <f t="shared" si="53"/>
        <v>46752</v>
      </c>
      <c r="AB144" s="1229" t="str">
        <f t="shared" si="53"/>
        <v/>
      </c>
      <c r="AC144" s="1229" t="str">
        <f t="shared" si="53"/>
        <v/>
      </c>
      <c r="AD144" s="1229" t="str">
        <f t="shared" si="53"/>
        <v/>
      </c>
      <c r="AE144" s="1230">
        <f t="shared" si="44"/>
        <v>0</v>
      </c>
      <c r="AF144" s="1230">
        <f t="shared" si="44"/>
        <v>0</v>
      </c>
      <c r="AG144" s="1230">
        <f t="shared" si="44"/>
        <v>0</v>
      </c>
      <c r="AH144" s="1230">
        <f t="shared" si="43"/>
        <v>0</v>
      </c>
      <c r="AI144" s="1230">
        <f t="shared" si="43"/>
        <v>0</v>
      </c>
      <c r="AJ144" s="1230">
        <f t="shared" si="43"/>
        <v>0</v>
      </c>
      <c r="AK144" s="1230">
        <f t="shared" ref="AK144:AN165" si="54">IF(AA144="",,(DATE(AK$6,12,31)-AA144)/365)</f>
        <v>0</v>
      </c>
      <c r="AL144" s="1230">
        <f t="shared" si="54"/>
        <v>0</v>
      </c>
      <c r="AM144" s="1230">
        <f t="shared" si="54"/>
        <v>0</v>
      </c>
      <c r="AN144" s="1230">
        <f t="shared" si="54"/>
        <v>0</v>
      </c>
    </row>
    <row r="145" spans="1:50" ht="15" outlineLevel="1" x14ac:dyDescent="0.25">
      <c r="B145" s="1271" t="s">
        <v>851</v>
      </c>
      <c r="C145" s="1225"/>
      <c r="D145" s="1225"/>
      <c r="E145" s="1225"/>
      <c r="F145" s="1225"/>
      <c r="G145" s="1270"/>
      <c r="H145" s="1226">
        <v>0</v>
      </c>
      <c r="I145" s="1226">
        <v>0</v>
      </c>
      <c r="J145" s="1226">
        <v>0</v>
      </c>
      <c r="K145" s="1226">
        <v>0</v>
      </c>
      <c r="L145" s="1226">
        <v>0</v>
      </c>
      <c r="M145" s="1226">
        <v>0</v>
      </c>
      <c r="N145" s="1226">
        <v>0</v>
      </c>
      <c r="O145" s="1227">
        <f t="shared" si="52"/>
        <v>0</v>
      </c>
      <c r="P145" s="1223"/>
      <c r="Q145" s="1232"/>
      <c r="R145" s="1218" t="s">
        <v>852</v>
      </c>
      <c r="S145" s="1232"/>
      <c r="T145" s="1223"/>
      <c r="U145" s="1229" t="str">
        <f t="shared" si="53"/>
        <v/>
      </c>
      <c r="V145" s="1229" t="str">
        <f t="shared" si="53"/>
        <v/>
      </c>
      <c r="W145" s="1229" t="str">
        <f t="shared" si="53"/>
        <v/>
      </c>
      <c r="X145" s="1229" t="str">
        <f t="shared" si="53"/>
        <v/>
      </c>
      <c r="Y145" s="1229" t="str">
        <f t="shared" si="53"/>
        <v/>
      </c>
      <c r="Z145" s="1229" t="str">
        <f t="shared" si="53"/>
        <v/>
      </c>
      <c r="AA145" s="1229" t="str">
        <f t="shared" si="53"/>
        <v/>
      </c>
      <c r="AB145" s="1229" t="str">
        <f t="shared" si="53"/>
        <v/>
      </c>
      <c r="AC145" s="1229" t="str">
        <f t="shared" si="53"/>
        <v/>
      </c>
      <c r="AD145" s="1229" t="str">
        <f t="shared" si="53"/>
        <v/>
      </c>
      <c r="AE145" s="1230">
        <f t="shared" si="44"/>
        <v>0</v>
      </c>
      <c r="AF145" s="1230">
        <f t="shared" si="44"/>
        <v>0</v>
      </c>
      <c r="AG145" s="1230">
        <f t="shared" si="44"/>
        <v>0</v>
      </c>
      <c r="AH145" s="1230">
        <f t="shared" si="44"/>
        <v>0</v>
      </c>
      <c r="AI145" s="1230">
        <f t="shared" si="44"/>
        <v>0</v>
      </c>
      <c r="AJ145" s="1230">
        <f t="shared" si="44"/>
        <v>0</v>
      </c>
      <c r="AK145" s="1230">
        <f t="shared" si="54"/>
        <v>0</v>
      </c>
      <c r="AL145" s="1230">
        <f t="shared" si="54"/>
        <v>0</v>
      </c>
      <c r="AM145" s="1230">
        <f t="shared" si="54"/>
        <v>0</v>
      </c>
      <c r="AN145" s="1230">
        <f t="shared" si="54"/>
        <v>0</v>
      </c>
    </row>
    <row r="146" spans="1:50" ht="15" outlineLevel="1" x14ac:dyDescent="0.25">
      <c r="B146" s="1249"/>
      <c r="C146" s="1270"/>
      <c r="D146" s="1270"/>
      <c r="E146" s="1270"/>
      <c r="F146" s="1270"/>
      <c r="G146" s="1270"/>
      <c r="H146" s="1270"/>
      <c r="I146" s="1270"/>
      <c r="J146" s="1270"/>
      <c r="K146" s="1270"/>
      <c r="L146" s="1270"/>
      <c r="M146" s="1270"/>
      <c r="N146" s="1270"/>
      <c r="O146" s="1227"/>
      <c r="P146" s="1223"/>
      <c r="Q146" s="1232"/>
      <c r="R146" s="1218"/>
      <c r="S146" s="1232"/>
      <c r="T146" s="1223"/>
      <c r="U146" s="1238"/>
      <c r="W146" s="1229"/>
      <c r="X146" s="1238"/>
      <c r="Y146" s="1238"/>
      <c r="Z146" s="1238"/>
      <c r="AA146" s="1232"/>
      <c r="AB146" s="1238"/>
      <c r="AC146" s="1238"/>
      <c r="AD146" s="1238"/>
      <c r="AE146" s="1230">
        <f t="shared" si="44"/>
        <v>0</v>
      </c>
      <c r="AF146" s="1230">
        <f t="shared" si="44"/>
        <v>0</v>
      </c>
      <c r="AG146" s="1230">
        <f t="shared" si="44"/>
        <v>0</v>
      </c>
      <c r="AH146" s="1230">
        <f t="shared" si="44"/>
        <v>0</v>
      </c>
      <c r="AI146" s="1230">
        <f t="shared" si="44"/>
        <v>0</v>
      </c>
      <c r="AJ146" s="1230">
        <f t="shared" si="44"/>
        <v>0</v>
      </c>
      <c r="AK146" s="1230">
        <f t="shared" si="54"/>
        <v>0</v>
      </c>
      <c r="AL146" s="1230">
        <f t="shared" si="54"/>
        <v>0</v>
      </c>
      <c r="AM146" s="1230">
        <f t="shared" si="54"/>
        <v>0</v>
      </c>
      <c r="AN146" s="1230">
        <f t="shared" si="54"/>
        <v>0</v>
      </c>
    </row>
    <row r="147" spans="1:50" ht="15" hidden="1" outlineLevel="1" x14ac:dyDescent="0.25">
      <c r="B147" s="1249"/>
      <c r="C147" s="1270"/>
      <c r="D147" s="1270"/>
      <c r="E147" s="1270"/>
      <c r="F147" s="1270"/>
      <c r="G147" s="1270"/>
      <c r="H147" s="1270"/>
      <c r="I147" s="1270"/>
      <c r="J147" s="1270"/>
      <c r="K147" s="1270"/>
      <c r="L147" s="1270"/>
      <c r="M147" s="1270"/>
      <c r="N147" s="1270"/>
      <c r="O147" s="1227"/>
      <c r="P147" s="1223"/>
      <c r="Q147" s="1232"/>
      <c r="R147" s="1218"/>
      <c r="S147" s="1232"/>
      <c r="T147" s="1223"/>
      <c r="U147" s="1238"/>
      <c r="W147" s="1229"/>
      <c r="X147" s="1238"/>
      <c r="Y147" s="1238"/>
      <c r="Z147" s="1274"/>
      <c r="AA147" s="1232"/>
      <c r="AB147" s="1238"/>
      <c r="AC147" s="1238"/>
      <c r="AD147" s="1238"/>
      <c r="AE147" s="1230">
        <f t="shared" si="44"/>
        <v>0</v>
      </c>
      <c r="AF147" s="1230">
        <f t="shared" si="44"/>
        <v>0</v>
      </c>
      <c r="AG147" s="1230">
        <f t="shared" si="44"/>
        <v>0</v>
      </c>
      <c r="AH147" s="1230">
        <f t="shared" si="44"/>
        <v>0</v>
      </c>
      <c r="AI147" s="1230">
        <f t="shared" si="44"/>
        <v>0</v>
      </c>
      <c r="AJ147" s="1230">
        <f t="shared" si="44"/>
        <v>0</v>
      </c>
      <c r="AK147" s="1230">
        <f t="shared" si="54"/>
        <v>0</v>
      </c>
      <c r="AL147" s="1230">
        <f t="shared" si="54"/>
        <v>0</v>
      </c>
      <c r="AM147" s="1230">
        <f t="shared" si="54"/>
        <v>0</v>
      </c>
      <c r="AN147" s="1230">
        <f t="shared" si="54"/>
        <v>0</v>
      </c>
    </row>
    <row r="148" spans="1:50" ht="15" hidden="1" outlineLevel="1" x14ac:dyDescent="0.25">
      <c r="B148" s="1249"/>
      <c r="C148" s="1270"/>
      <c r="D148" s="1270"/>
      <c r="E148" s="1270"/>
      <c r="F148" s="1270"/>
      <c r="G148" s="1270"/>
      <c r="H148" s="1270"/>
      <c r="I148" s="1270"/>
      <c r="J148" s="1270"/>
      <c r="K148" s="1270"/>
      <c r="L148" s="1270"/>
      <c r="M148" s="1270"/>
      <c r="N148" s="1270"/>
      <c r="O148" s="1227"/>
      <c r="P148" s="1223"/>
      <c r="Q148" s="1232"/>
      <c r="R148" s="1218"/>
      <c r="S148" s="1232"/>
      <c r="T148" s="1223"/>
      <c r="U148" s="1238"/>
      <c r="W148" s="1229"/>
      <c r="X148" s="1238"/>
      <c r="Y148" s="1274"/>
      <c r="Z148" s="1238"/>
      <c r="AA148" s="1232"/>
      <c r="AB148" s="1238"/>
      <c r="AC148" s="1238"/>
      <c r="AD148" s="1238"/>
      <c r="AE148" s="1230">
        <f t="shared" si="44"/>
        <v>0</v>
      </c>
      <c r="AF148" s="1230">
        <f t="shared" si="44"/>
        <v>0</v>
      </c>
      <c r="AG148" s="1230">
        <f t="shared" si="44"/>
        <v>0</v>
      </c>
      <c r="AH148" s="1230">
        <f t="shared" si="44"/>
        <v>0</v>
      </c>
      <c r="AI148" s="1230">
        <f t="shared" si="44"/>
        <v>0</v>
      </c>
      <c r="AJ148" s="1230">
        <f t="shared" si="44"/>
        <v>0</v>
      </c>
      <c r="AK148" s="1230">
        <f t="shared" si="54"/>
        <v>0</v>
      </c>
      <c r="AL148" s="1230">
        <f t="shared" si="54"/>
        <v>0</v>
      </c>
      <c r="AM148" s="1230">
        <f t="shared" si="54"/>
        <v>0</v>
      </c>
      <c r="AN148" s="1230">
        <f t="shared" si="54"/>
        <v>0</v>
      </c>
    </row>
    <row r="149" spans="1:50" ht="15" hidden="1" outlineLevel="1" x14ac:dyDescent="0.25">
      <c r="B149" s="1249"/>
      <c r="C149" s="1275"/>
      <c r="D149" s="1270"/>
      <c r="E149" s="1270"/>
      <c r="F149" s="1270"/>
      <c r="G149" s="1270"/>
      <c r="H149" s="1275"/>
      <c r="I149" s="1270"/>
      <c r="J149" s="1270"/>
      <c r="K149" s="1270"/>
      <c r="L149" s="1270"/>
      <c r="M149" s="1270"/>
      <c r="N149" s="1270"/>
      <c r="O149" s="1227"/>
      <c r="P149" s="1223"/>
      <c r="Q149" s="1232"/>
      <c r="R149" s="1218"/>
      <c r="S149" s="1232"/>
      <c r="T149" s="1223"/>
      <c r="U149" s="1238"/>
      <c r="W149" s="1229"/>
      <c r="X149" s="1229"/>
      <c r="Y149" s="1238"/>
      <c r="Z149" s="1274"/>
      <c r="AA149" s="1232"/>
      <c r="AB149" s="1238"/>
      <c r="AC149" s="1238"/>
      <c r="AD149" s="1238"/>
      <c r="AE149" s="1230">
        <f t="shared" si="44"/>
        <v>0</v>
      </c>
      <c r="AF149" s="1230">
        <f t="shared" si="44"/>
        <v>0</v>
      </c>
      <c r="AG149" s="1230">
        <f t="shared" si="44"/>
        <v>0</v>
      </c>
      <c r="AH149" s="1230">
        <f t="shared" si="44"/>
        <v>0</v>
      </c>
      <c r="AI149" s="1230">
        <f t="shared" si="44"/>
        <v>0</v>
      </c>
      <c r="AJ149" s="1230">
        <f t="shared" si="44"/>
        <v>0</v>
      </c>
      <c r="AK149" s="1230">
        <f t="shared" si="54"/>
        <v>0</v>
      </c>
      <c r="AL149" s="1230">
        <f t="shared" si="54"/>
        <v>0</v>
      </c>
      <c r="AM149" s="1230">
        <f t="shared" si="54"/>
        <v>0</v>
      </c>
      <c r="AN149" s="1230">
        <f t="shared" si="54"/>
        <v>0</v>
      </c>
    </row>
    <row r="150" spans="1:50" hidden="1" outlineLevel="1" x14ac:dyDescent="0.2">
      <c r="B150" s="1249"/>
      <c r="C150" s="1223"/>
      <c r="D150" s="1223"/>
      <c r="E150" s="1223"/>
      <c r="F150" s="1223"/>
      <c r="G150" s="1223"/>
      <c r="H150" s="1223"/>
      <c r="I150" s="1223"/>
      <c r="J150" s="1223"/>
      <c r="K150" s="1223"/>
      <c r="L150" s="1223"/>
      <c r="M150" s="1223"/>
      <c r="N150" s="1223"/>
      <c r="O150" s="1223"/>
      <c r="P150" s="1223"/>
      <c r="Q150" s="1232"/>
      <c r="R150" s="1218"/>
      <c r="S150" s="1232"/>
      <c r="T150" s="1223"/>
      <c r="U150" s="1238"/>
      <c r="V150" s="1238"/>
      <c r="W150" s="1238"/>
      <c r="X150" s="1238"/>
      <c r="Y150" s="1238"/>
      <c r="Z150" s="1238"/>
      <c r="AA150" s="1238"/>
      <c r="AB150" s="1238"/>
      <c r="AC150" s="1238"/>
      <c r="AD150" s="1238"/>
      <c r="AE150" s="1230">
        <f t="shared" si="44"/>
        <v>0</v>
      </c>
      <c r="AF150" s="1230">
        <f t="shared" si="44"/>
        <v>0</v>
      </c>
      <c r="AG150" s="1230">
        <f t="shared" si="44"/>
        <v>0</v>
      </c>
      <c r="AH150" s="1230">
        <f t="shared" si="44"/>
        <v>0</v>
      </c>
      <c r="AI150" s="1230">
        <f t="shared" si="44"/>
        <v>0</v>
      </c>
      <c r="AJ150" s="1230">
        <f t="shared" si="44"/>
        <v>0</v>
      </c>
      <c r="AK150" s="1230">
        <f t="shared" si="54"/>
        <v>0</v>
      </c>
      <c r="AL150" s="1230">
        <f t="shared" si="54"/>
        <v>0</v>
      </c>
      <c r="AM150" s="1230">
        <f t="shared" si="54"/>
        <v>0</v>
      </c>
      <c r="AN150" s="1230">
        <f t="shared" si="54"/>
        <v>0</v>
      </c>
    </row>
    <row r="151" spans="1:50" s="1207" customFormat="1" ht="15" hidden="1" x14ac:dyDescent="0.25">
      <c r="A151" s="1213">
        <f>+A150+1</f>
        <v>1</v>
      </c>
      <c r="B151" s="1204" t="s">
        <v>654</v>
      </c>
      <c r="C151" s="1216"/>
      <c r="D151" s="1216"/>
      <c r="E151" s="1216"/>
      <c r="F151" s="1216"/>
      <c r="G151" s="1216"/>
      <c r="H151" s="1216">
        <f>SUM(H152:H161)</f>
        <v>0</v>
      </c>
      <c r="I151" s="1216">
        <f t="shared" ref="I151:N151" si="55">SUM(I152:I161)</f>
        <v>0</v>
      </c>
      <c r="J151" s="1216">
        <f t="shared" si="55"/>
        <v>0</v>
      </c>
      <c r="K151" s="1216">
        <f t="shared" si="55"/>
        <v>0</v>
      </c>
      <c r="L151" s="1216">
        <f t="shared" si="55"/>
        <v>0</v>
      </c>
      <c r="M151" s="1216">
        <f t="shared" si="55"/>
        <v>0</v>
      </c>
      <c r="N151" s="1216">
        <f t="shared" si="55"/>
        <v>0</v>
      </c>
      <c r="O151" s="1216">
        <f t="shared" ref="O151:O164" si="56">SUM(D151:N151)</f>
        <v>0</v>
      </c>
      <c r="P151" s="1217"/>
      <c r="Q151" s="1244"/>
      <c r="S151" s="1244"/>
      <c r="T151" s="1217"/>
      <c r="AE151" s="1230">
        <f t="shared" si="44"/>
        <v>0</v>
      </c>
      <c r="AF151" s="1230">
        <f t="shared" si="44"/>
        <v>0</v>
      </c>
      <c r="AG151" s="1230">
        <f t="shared" si="44"/>
        <v>0</v>
      </c>
      <c r="AH151" s="1230">
        <f t="shared" si="44"/>
        <v>0</v>
      </c>
      <c r="AI151" s="1230">
        <f t="shared" si="44"/>
        <v>0</v>
      </c>
      <c r="AJ151" s="1230">
        <f t="shared" si="44"/>
        <v>0</v>
      </c>
      <c r="AK151" s="1230">
        <f t="shared" si="54"/>
        <v>0</v>
      </c>
      <c r="AL151" s="1230">
        <f t="shared" si="54"/>
        <v>0</v>
      </c>
      <c r="AM151" s="1230">
        <f t="shared" si="54"/>
        <v>0</v>
      </c>
      <c r="AN151" s="1230">
        <f t="shared" si="54"/>
        <v>0</v>
      </c>
    </row>
    <row r="152" spans="1:50" ht="15" hidden="1" outlineLevel="1" x14ac:dyDescent="0.25">
      <c r="A152" s="1218">
        <v>1</v>
      </c>
      <c r="B152" s="1263" t="s">
        <v>853</v>
      </c>
      <c r="C152" s="1225"/>
      <c r="D152" s="1225"/>
      <c r="E152" s="1225"/>
      <c r="F152" s="1225"/>
      <c r="G152" s="1265"/>
      <c r="H152" s="1265">
        <v>0</v>
      </c>
      <c r="I152" s="1265">
        <v>0</v>
      </c>
      <c r="J152" s="1265">
        <v>0</v>
      </c>
      <c r="K152" s="1265">
        <v>0</v>
      </c>
      <c r="L152" s="1265">
        <v>0</v>
      </c>
      <c r="M152" s="1265">
        <v>0</v>
      </c>
      <c r="N152" s="1265">
        <v>0</v>
      </c>
      <c r="O152" s="1227">
        <f t="shared" ref="O152:O160" si="57">SUM(C152:N152)</f>
        <v>0</v>
      </c>
      <c r="P152" s="1223"/>
      <c r="Q152" s="1232"/>
      <c r="R152" s="1276" t="s">
        <v>839</v>
      </c>
      <c r="S152" s="1232"/>
      <c r="T152" s="1223"/>
      <c r="U152" s="1229" t="str">
        <f t="shared" ref="U152:AD160" si="58">IF(U$6=YEAR($Q152),$Q152,"")</f>
        <v/>
      </c>
      <c r="V152" s="1229" t="str">
        <f t="shared" si="58"/>
        <v/>
      </c>
      <c r="W152" s="1229" t="str">
        <f t="shared" si="58"/>
        <v/>
      </c>
      <c r="X152" s="1239">
        <v>45657</v>
      </c>
      <c r="Y152" s="1239">
        <v>46022</v>
      </c>
      <c r="Z152" s="1229" t="str">
        <f t="shared" si="58"/>
        <v/>
      </c>
      <c r="AA152" s="1229" t="str">
        <f t="shared" si="58"/>
        <v/>
      </c>
      <c r="AB152" s="1229" t="str">
        <f t="shared" si="58"/>
        <v/>
      </c>
      <c r="AC152" s="1229" t="str">
        <f t="shared" si="58"/>
        <v/>
      </c>
      <c r="AD152" s="1229" t="str">
        <f t="shared" si="58"/>
        <v/>
      </c>
      <c r="AE152" s="1230">
        <f t="shared" si="44"/>
        <v>0</v>
      </c>
      <c r="AF152" s="1230">
        <f t="shared" si="44"/>
        <v>0</v>
      </c>
      <c r="AG152" s="1230">
        <f t="shared" si="44"/>
        <v>0</v>
      </c>
      <c r="AH152" s="1230">
        <f t="shared" si="44"/>
        <v>0</v>
      </c>
      <c r="AI152" s="1230">
        <f t="shared" si="44"/>
        <v>0</v>
      </c>
      <c r="AJ152" s="1230">
        <f t="shared" si="44"/>
        <v>0</v>
      </c>
      <c r="AK152" s="1230">
        <f t="shared" si="54"/>
        <v>0</v>
      </c>
      <c r="AL152" s="1230">
        <f t="shared" si="54"/>
        <v>0</v>
      </c>
      <c r="AM152" s="1230">
        <f t="shared" si="54"/>
        <v>0</v>
      </c>
      <c r="AN152" s="1230">
        <f t="shared" si="54"/>
        <v>0</v>
      </c>
      <c r="AO152" s="1231">
        <f t="shared" ref="AO152:AX160" si="59">AE152*E152</f>
        <v>0</v>
      </c>
      <c r="AP152" s="1231">
        <f t="shared" si="59"/>
        <v>0</v>
      </c>
      <c r="AQ152" s="1231">
        <f t="shared" si="59"/>
        <v>0</v>
      </c>
      <c r="AR152" s="1231">
        <f t="shared" si="59"/>
        <v>0</v>
      </c>
      <c r="AS152" s="1231">
        <f t="shared" si="59"/>
        <v>0</v>
      </c>
      <c r="AT152" s="1231">
        <f t="shared" si="59"/>
        <v>0</v>
      </c>
      <c r="AU152" s="1231">
        <f t="shared" si="59"/>
        <v>0</v>
      </c>
      <c r="AV152" s="1231">
        <f t="shared" si="59"/>
        <v>0</v>
      </c>
      <c r="AW152" s="1231">
        <f t="shared" si="59"/>
        <v>0</v>
      </c>
      <c r="AX152" s="1231">
        <f t="shared" si="59"/>
        <v>0</v>
      </c>
    </row>
    <row r="153" spans="1:50" ht="15" hidden="1" outlineLevel="1" x14ac:dyDescent="0.25">
      <c r="A153" s="1218">
        <v>2</v>
      </c>
      <c r="B153" s="1263" t="s">
        <v>719</v>
      </c>
      <c r="C153" s="1225"/>
      <c r="D153" s="1225"/>
      <c r="E153" s="1225"/>
      <c r="F153" s="1225"/>
      <c r="G153" s="1265"/>
      <c r="H153" s="1265">
        <v>0</v>
      </c>
      <c r="I153" s="1265">
        <v>0</v>
      </c>
      <c r="J153" s="1265">
        <v>0</v>
      </c>
      <c r="K153" s="1265">
        <v>0</v>
      </c>
      <c r="L153" s="1265">
        <v>0</v>
      </c>
      <c r="M153" s="1265">
        <v>0</v>
      </c>
      <c r="N153" s="1265">
        <v>0</v>
      </c>
      <c r="O153" s="1227">
        <f t="shared" si="57"/>
        <v>0</v>
      </c>
      <c r="P153" s="1223"/>
      <c r="Q153" s="1232"/>
      <c r="R153" s="1276" t="s">
        <v>839</v>
      </c>
      <c r="S153" s="1232"/>
      <c r="T153" s="1223"/>
      <c r="U153" s="1229" t="str">
        <f t="shared" si="58"/>
        <v/>
      </c>
      <c r="V153" s="1229" t="str">
        <f t="shared" si="58"/>
        <v/>
      </c>
      <c r="W153" s="1229" t="str">
        <f t="shared" si="58"/>
        <v/>
      </c>
      <c r="X153" s="1239">
        <v>45657</v>
      </c>
      <c r="Y153" s="1239">
        <v>46022</v>
      </c>
      <c r="Z153" s="1229" t="str">
        <f t="shared" si="58"/>
        <v/>
      </c>
      <c r="AA153" s="1229" t="str">
        <f t="shared" si="58"/>
        <v/>
      </c>
      <c r="AB153" s="1229" t="str">
        <f t="shared" si="58"/>
        <v/>
      </c>
      <c r="AC153" s="1229" t="str">
        <f t="shared" si="58"/>
        <v/>
      </c>
      <c r="AD153" s="1229" t="str">
        <f t="shared" si="58"/>
        <v/>
      </c>
      <c r="AE153" s="1230">
        <f t="shared" si="44"/>
        <v>0</v>
      </c>
      <c r="AF153" s="1230">
        <f t="shared" si="44"/>
        <v>0</v>
      </c>
      <c r="AG153" s="1230">
        <f t="shared" si="44"/>
        <v>0</v>
      </c>
      <c r="AH153" s="1230">
        <f t="shared" si="44"/>
        <v>0</v>
      </c>
      <c r="AI153" s="1230">
        <f t="shared" si="44"/>
        <v>0</v>
      </c>
      <c r="AJ153" s="1230">
        <f t="shared" si="44"/>
        <v>0</v>
      </c>
      <c r="AK153" s="1230">
        <f t="shared" si="54"/>
        <v>0</v>
      </c>
      <c r="AL153" s="1230">
        <f t="shared" si="54"/>
        <v>0</v>
      </c>
      <c r="AM153" s="1230">
        <f t="shared" si="54"/>
        <v>0</v>
      </c>
      <c r="AN153" s="1230">
        <f t="shared" si="54"/>
        <v>0</v>
      </c>
      <c r="AO153" s="1231">
        <f t="shared" si="59"/>
        <v>0</v>
      </c>
      <c r="AP153" s="1231">
        <f t="shared" si="59"/>
        <v>0</v>
      </c>
      <c r="AQ153" s="1231">
        <f t="shared" si="59"/>
        <v>0</v>
      </c>
      <c r="AR153" s="1231">
        <f t="shared" si="59"/>
        <v>0</v>
      </c>
      <c r="AS153" s="1231">
        <f t="shared" si="59"/>
        <v>0</v>
      </c>
      <c r="AT153" s="1231">
        <f t="shared" si="59"/>
        <v>0</v>
      </c>
      <c r="AU153" s="1231">
        <f t="shared" si="59"/>
        <v>0</v>
      </c>
      <c r="AV153" s="1231">
        <f t="shared" si="59"/>
        <v>0</v>
      </c>
      <c r="AW153" s="1231">
        <f t="shared" si="59"/>
        <v>0</v>
      </c>
      <c r="AX153" s="1231">
        <f t="shared" si="59"/>
        <v>0</v>
      </c>
    </row>
    <row r="154" spans="1:50" ht="15" hidden="1" outlineLevel="1" x14ac:dyDescent="0.25">
      <c r="A154" s="1218">
        <v>3</v>
      </c>
      <c r="B154" s="1263" t="s">
        <v>718</v>
      </c>
      <c r="C154" s="1225"/>
      <c r="D154" s="1225"/>
      <c r="E154" s="1225"/>
      <c r="F154" s="1225"/>
      <c r="G154" s="1265"/>
      <c r="H154" s="1265">
        <v>0</v>
      </c>
      <c r="I154" s="1265">
        <v>0</v>
      </c>
      <c r="J154" s="1265">
        <v>0</v>
      </c>
      <c r="K154" s="1265">
        <v>0</v>
      </c>
      <c r="L154" s="1265">
        <v>0</v>
      </c>
      <c r="M154" s="1265">
        <v>0</v>
      </c>
      <c r="N154" s="1265">
        <v>0</v>
      </c>
      <c r="O154" s="1227">
        <f t="shared" si="57"/>
        <v>0</v>
      </c>
      <c r="P154" s="1223"/>
      <c r="Q154" s="1232"/>
      <c r="R154" s="1276" t="s">
        <v>854</v>
      </c>
      <c r="S154" s="1232"/>
      <c r="T154" s="1223"/>
      <c r="U154" s="1229" t="str">
        <f t="shared" si="58"/>
        <v/>
      </c>
      <c r="V154" s="1229" t="str">
        <f t="shared" si="58"/>
        <v/>
      </c>
      <c r="W154" s="1229" t="str">
        <f t="shared" si="58"/>
        <v/>
      </c>
      <c r="X154" s="1239">
        <v>45657</v>
      </c>
      <c r="Y154" s="1239">
        <v>46022</v>
      </c>
      <c r="Z154" s="1239">
        <v>46387</v>
      </c>
      <c r="AA154" s="1229" t="str">
        <f t="shared" si="58"/>
        <v/>
      </c>
      <c r="AB154" s="1229" t="str">
        <f t="shared" si="58"/>
        <v/>
      </c>
      <c r="AC154" s="1229" t="str">
        <f t="shared" si="58"/>
        <v/>
      </c>
      <c r="AD154" s="1229" t="str">
        <f t="shared" si="58"/>
        <v/>
      </c>
      <c r="AE154" s="1230">
        <f t="shared" si="44"/>
        <v>0</v>
      </c>
      <c r="AF154" s="1230">
        <f t="shared" si="44"/>
        <v>0</v>
      </c>
      <c r="AG154" s="1230">
        <f t="shared" si="44"/>
        <v>0</v>
      </c>
      <c r="AH154" s="1230">
        <f t="shared" si="44"/>
        <v>0</v>
      </c>
      <c r="AI154" s="1230">
        <f t="shared" si="44"/>
        <v>0</v>
      </c>
      <c r="AJ154" s="1230">
        <f t="shared" si="44"/>
        <v>0</v>
      </c>
      <c r="AK154" s="1230">
        <f t="shared" si="54"/>
        <v>0</v>
      </c>
      <c r="AL154" s="1230">
        <f t="shared" si="54"/>
        <v>0</v>
      </c>
      <c r="AM154" s="1230">
        <f t="shared" si="54"/>
        <v>0</v>
      </c>
      <c r="AN154" s="1230">
        <f t="shared" si="54"/>
        <v>0</v>
      </c>
      <c r="AO154" s="1231">
        <f t="shared" si="59"/>
        <v>0</v>
      </c>
      <c r="AP154" s="1231">
        <f t="shared" si="59"/>
        <v>0</v>
      </c>
      <c r="AQ154" s="1231">
        <f t="shared" si="59"/>
        <v>0</v>
      </c>
      <c r="AR154" s="1231">
        <f t="shared" si="59"/>
        <v>0</v>
      </c>
      <c r="AS154" s="1231">
        <f t="shared" si="59"/>
        <v>0</v>
      </c>
      <c r="AT154" s="1231">
        <f t="shared" si="59"/>
        <v>0</v>
      </c>
      <c r="AU154" s="1231">
        <f t="shared" si="59"/>
        <v>0</v>
      </c>
      <c r="AV154" s="1231">
        <f t="shared" si="59"/>
        <v>0</v>
      </c>
      <c r="AW154" s="1231">
        <f t="shared" si="59"/>
        <v>0</v>
      </c>
      <c r="AX154" s="1231">
        <f t="shared" si="59"/>
        <v>0</v>
      </c>
    </row>
    <row r="155" spans="1:50" ht="15" hidden="1" outlineLevel="1" x14ac:dyDescent="0.25">
      <c r="A155" s="1218">
        <v>5</v>
      </c>
      <c r="B155" s="1263" t="s">
        <v>855</v>
      </c>
      <c r="C155" s="1225"/>
      <c r="D155" s="1225"/>
      <c r="E155" s="1225"/>
      <c r="F155" s="1225"/>
      <c r="G155" s="1265"/>
      <c r="H155" s="1265">
        <v>0</v>
      </c>
      <c r="I155" s="1265">
        <v>0</v>
      </c>
      <c r="J155" s="1265">
        <v>0</v>
      </c>
      <c r="K155" s="1265">
        <v>0</v>
      </c>
      <c r="L155" s="1265">
        <v>0</v>
      </c>
      <c r="M155" s="1265">
        <v>0</v>
      </c>
      <c r="N155" s="1265">
        <v>0</v>
      </c>
      <c r="O155" s="1227">
        <f t="shared" si="57"/>
        <v>0</v>
      </c>
      <c r="P155" s="1223"/>
      <c r="Q155" s="1232"/>
      <c r="R155" s="1276" t="s">
        <v>787</v>
      </c>
      <c r="S155" s="1232"/>
      <c r="T155" s="1223"/>
      <c r="U155" s="1229" t="str">
        <f t="shared" si="58"/>
        <v/>
      </c>
      <c r="V155" s="1229" t="str">
        <f t="shared" si="58"/>
        <v/>
      </c>
      <c r="W155" s="1229" t="str">
        <f t="shared" si="58"/>
        <v/>
      </c>
      <c r="X155" s="1239">
        <v>45657</v>
      </c>
      <c r="Y155" s="1229" t="str">
        <f t="shared" si="58"/>
        <v/>
      </c>
      <c r="Z155" s="1229" t="str">
        <f t="shared" si="58"/>
        <v/>
      </c>
      <c r="AA155" s="1229" t="str">
        <f t="shared" si="58"/>
        <v/>
      </c>
      <c r="AB155" s="1229" t="str">
        <f t="shared" si="58"/>
        <v/>
      </c>
      <c r="AC155" s="1229" t="str">
        <f t="shared" si="58"/>
        <v/>
      </c>
      <c r="AD155" s="1229" t="str">
        <f t="shared" si="58"/>
        <v/>
      </c>
      <c r="AE155" s="1230">
        <f t="shared" si="44"/>
        <v>0</v>
      </c>
      <c r="AF155" s="1230">
        <f t="shared" si="44"/>
        <v>0</v>
      </c>
      <c r="AG155" s="1230">
        <f t="shared" si="44"/>
        <v>0</v>
      </c>
      <c r="AH155" s="1230">
        <f t="shared" si="44"/>
        <v>0</v>
      </c>
      <c r="AI155" s="1230">
        <f t="shared" si="44"/>
        <v>0</v>
      </c>
      <c r="AJ155" s="1230">
        <f t="shared" si="44"/>
        <v>0</v>
      </c>
      <c r="AK155" s="1230">
        <f t="shared" si="54"/>
        <v>0</v>
      </c>
      <c r="AL155" s="1230">
        <f t="shared" si="54"/>
        <v>0</v>
      </c>
      <c r="AM155" s="1230">
        <f t="shared" si="54"/>
        <v>0</v>
      </c>
      <c r="AN155" s="1230">
        <f t="shared" si="54"/>
        <v>0</v>
      </c>
      <c r="AO155" s="1231">
        <f t="shared" si="59"/>
        <v>0</v>
      </c>
      <c r="AP155" s="1231">
        <f t="shared" si="59"/>
        <v>0</v>
      </c>
      <c r="AQ155" s="1231">
        <f t="shared" si="59"/>
        <v>0</v>
      </c>
      <c r="AR155" s="1231">
        <f t="shared" si="59"/>
        <v>0</v>
      </c>
      <c r="AS155" s="1231">
        <f t="shared" si="59"/>
        <v>0</v>
      </c>
      <c r="AT155" s="1231">
        <f t="shared" si="59"/>
        <v>0</v>
      </c>
      <c r="AU155" s="1231">
        <f t="shared" si="59"/>
        <v>0</v>
      </c>
      <c r="AV155" s="1231">
        <f t="shared" si="59"/>
        <v>0</v>
      </c>
      <c r="AW155" s="1231">
        <f t="shared" si="59"/>
        <v>0</v>
      </c>
      <c r="AX155" s="1231">
        <f t="shared" si="59"/>
        <v>0</v>
      </c>
    </row>
    <row r="156" spans="1:50" ht="15" hidden="1" outlineLevel="1" x14ac:dyDescent="0.25">
      <c r="A156" s="1218">
        <v>6</v>
      </c>
      <c r="B156" s="1263" t="s">
        <v>856</v>
      </c>
      <c r="C156" s="1225"/>
      <c r="D156" s="1225"/>
      <c r="E156" s="1225"/>
      <c r="F156" s="1225"/>
      <c r="G156" s="1225"/>
      <c r="H156" s="1226">
        <v>0</v>
      </c>
      <c r="I156" s="1226">
        <v>0</v>
      </c>
      <c r="J156" s="1226">
        <v>0</v>
      </c>
      <c r="K156" s="1226">
        <v>0</v>
      </c>
      <c r="L156" s="1226">
        <v>0</v>
      </c>
      <c r="M156" s="1226">
        <v>0</v>
      </c>
      <c r="N156" s="1226">
        <v>0</v>
      </c>
      <c r="O156" s="1227">
        <f t="shared" si="57"/>
        <v>0</v>
      </c>
      <c r="P156" s="1223"/>
      <c r="Q156" s="1232">
        <v>45291</v>
      </c>
      <c r="S156" s="1232"/>
      <c r="T156" s="1223"/>
      <c r="U156" s="1229" t="str">
        <f t="shared" si="58"/>
        <v/>
      </c>
      <c r="V156" s="1229" t="str">
        <f t="shared" si="58"/>
        <v/>
      </c>
      <c r="W156" s="1229">
        <f t="shared" si="58"/>
        <v>45291</v>
      </c>
      <c r="X156" s="1229" t="str">
        <f t="shared" si="58"/>
        <v/>
      </c>
      <c r="Y156" s="1229" t="str">
        <f t="shared" si="58"/>
        <v/>
      </c>
      <c r="Z156" s="1229" t="str">
        <f t="shared" si="58"/>
        <v/>
      </c>
      <c r="AA156" s="1229" t="str">
        <f t="shared" si="58"/>
        <v/>
      </c>
      <c r="AB156" s="1229" t="str">
        <f t="shared" si="58"/>
        <v/>
      </c>
      <c r="AC156" s="1229" t="str">
        <f t="shared" si="58"/>
        <v/>
      </c>
      <c r="AD156" s="1229" t="str">
        <f t="shared" si="58"/>
        <v/>
      </c>
      <c r="AE156" s="1230">
        <f t="shared" si="44"/>
        <v>0</v>
      </c>
      <c r="AF156" s="1230">
        <f t="shared" si="44"/>
        <v>0</v>
      </c>
      <c r="AG156" s="1230">
        <f t="shared" si="44"/>
        <v>0</v>
      </c>
      <c r="AH156" s="1230">
        <f t="shared" si="44"/>
        <v>0</v>
      </c>
      <c r="AI156" s="1230">
        <f t="shared" si="44"/>
        <v>0</v>
      </c>
      <c r="AJ156" s="1230">
        <f t="shared" si="44"/>
        <v>0</v>
      </c>
      <c r="AK156" s="1230">
        <f t="shared" si="54"/>
        <v>0</v>
      </c>
      <c r="AL156" s="1230">
        <f t="shared" si="54"/>
        <v>0</v>
      </c>
      <c r="AM156" s="1230">
        <f t="shared" si="54"/>
        <v>0</v>
      </c>
      <c r="AN156" s="1230">
        <f t="shared" si="54"/>
        <v>0</v>
      </c>
      <c r="AO156" s="1231">
        <f t="shared" si="59"/>
        <v>0</v>
      </c>
      <c r="AP156" s="1231">
        <f t="shared" si="59"/>
        <v>0</v>
      </c>
      <c r="AQ156" s="1231">
        <f t="shared" si="59"/>
        <v>0</v>
      </c>
      <c r="AR156" s="1231">
        <f t="shared" si="59"/>
        <v>0</v>
      </c>
      <c r="AS156" s="1231">
        <f t="shared" si="59"/>
        <v>0</v>
      </c>
      <c r="AT156" s="1231">
        <f t="shared" si="59"/>
        <v>0</v>
      </c>
      <c r="AU156" s="1231">
        <f t="shared" si="59"/>
        <v>0</v>
      </c>
      <c r="AV156" s="1231">
        <f t="shared" si="59"/>
        <v>0</v>
      </c>
      <c r="AW156" s="1231">
        <f t="shared" si="59"/>
        <v>0</v>
      </c>
      <c r="AX156" s="1231">
        <f t="shared" si="59"/>
        <v>0</v>
      </c>
    </row>
    <row r="157" spans="1:50" ht="15" hidden="1" outlineLevel="1" x14ac:dyDescent="0.25">
      <c r="B157" s="1263" t="s">
        <v>857</v>
      </c>
      <c r="C157" s="1225"/>
      <c r="D157" s="1225"/>
      <c r="E157" s="1225"/>
      <c r="F157" s="1225"/>
      <c r="G157" s="1225"/>
      <c r="H157" s="1226">
        <v>0</v>
      </c>
      <c r="I157" s="1226">
        <v>0</v>
      </c>
      <c r="J157" s="1226">
        <v>0</v>
      </c>
      <c r="K157" s="1226">
        <v>0</v>
      </c>
      <c r="L157" s="1226">
        <v>0</v>
      </c>
      <c r="M157" s="1226">
        <v>0</v>
      </c>
      <c r="N157" s="1226">
        <v>0</v>
      </c>
      <c r="O157" s="1227">
        <f t="shared" si="57"/>
        <v>0</v>
      </c>
      <c r="P157" s="1223"/>
      <c r="Q157" s="1232">
        <v>45291</v>
      </c>
      <c r="S157" s="1232"/>
      <c r="T157" s="1223"/>
      <c r="U157" s="1229" t="str">
        <f t="shared" si="58"/>
        <v/>
      </c>
      <c r="V157" s="1229" t="str">
        <f t="shared" si="58"/>
        <v/>
      </c>
      <c r="W157" s="1229">
        <f t="shared" si="58"/>
        <v>45291</v>
      </c>
      <c r="X157" s="1229" t="str">
        <f t="shared" si="58"/>
        <v/>
      </c>
      <c r="Y157" s="1229" t="str">
        <f t="shared" si="58"/>
        <v/>
      </c>
      <c r="Z157" s="1229" t="str">
        <f t="shared" si="58"/>
        <v/>
      </c>
      <c r="AA157" s="1229" t="str">
        <f t="shared" si="58"/>
        <v/>
      </c>
      <c r="AB157" s="1229" t="str">
        <f t="shared" si="58"/>
        <v/>
      </c>
      <c r="AC157" s="1229" t="str">
        <f t="shared" si="58"/>
        <v/>
      </c>
      <c r="AD157" s="1229" t="str">
        <f t="shared" si="58"/>
        <v/>
      </c>
      <c r="AE157" s="1230">
        <f t="shared" si="44"/>
        <v>0</v>
      </c>
      <c r="AF157" s="1230">
        <f t="shared" si="44"/>
        <v>0</v>
      </c>
      <c r="AG157" s="1230">
        <f t="shared" si="44"/>
        <v>0</v>
      </c>
      <c r="AH157" s="1230">
        <f t="shared" si="44"/>
        <v>0</v>
      </c>
      <c r="AI157" s="1230">
        <f t="shared" si="44"/>
        <v>0</v>
      </c>
      <c r="AJ157" s="1230">
        <f t="shared" si="44"/>
        <v>0</v>
      </c>
      <c r="AK157" s="1230">
        <f t="shared" si="54"/>
        <v>0</v>
      </c>
      <c r="AL157" s="1230">
        <f t="shared" si="54"/>
        <v>0</v>
      </c>
      <c r="AM157" s="1230">
        <f t="shared" si="54"/>
        <v>0</v>
      </c>
      <c r="AN157" s="1230">
        <f t="shared" si="54"/>
        <v>0</v>
      </c>
      <c r="AO157" s="1231">
        <f t="shared" si="59"/>
        <v>0</v>
      </c>
      <c r="AP157" s="1231">
        <f t="shared" si="59"/>
        <v>0</v>
      </c>
      <c r="AQ157" s="1231">
        <f t="shared" si="59"/>
        <v>0</v>
      </c>
      <c r="AR157" s="1231">
        <f t="shared" si="59"/>
        <v>0</v>
      </c>
      <c r="AS157" s="1231">
        <f t="shared" si="59"/>
        <v>0</v>
      </c>
      <c r="AT157" s="1231">
        <f t="shared" si="59"/>
        <v>0</v>
      </c>
      <c r="AU157" s="1231">
        <f t="shared" si="59"/>
        <v>0</v>
      </c>
      <c r="AV157" s="1231">
        <f t="shared" si="59"/>
        <v>0</v>
      </c>
      <c r="AW157" s="1231">
        <f t="shared" si="59"/>
        <v>0</v>
      </c>
      <c r="AX157" s="1231">
        <f t="shared" si="59"/>
        <v>0</v>
      </c>
    </row>
    <row r="158" spans="1:50" ht="15" hidden="1" outlineLevel="1" x14ac:dyDescent="0.25">
      <c r="B158" s="1263" t="s">
        <v>858</v>
      </c>
      <c r="C158" s="1225"/>
      <c r="D158" s="1225"/>
      <c r="E158" s="1225"/>
      <c r="F158" s="1225"/>
      <c r="G158" s="1277"/>
      <c r="H158" s="1265">
        <v>0</v>
      </c>
      <c r="I158" s="1265">
        <v>0</v>
      </c>
      <c r="J158" s="1265">
        <v>0</v>
      </c>
      <c r="K158" s="1265">
        <v>0</v>
      </c>
      <c r="L158" s="1265">
        <v>0</v>
      </c>
      <c r="M158" s="1265">
        <v>0</v>
      </c>
      <c r="N158" s="1265">
        <v>0</v>
      </c>
      <c r="O158" s="1227">
        <f t="shared" si="57"/>
        <v>0</v>
      </c>
      <c r="P158" s="1223"/>
      <c r="Q158" s="1232"/>
      <c r="R158" s="1276" t="s">
        <v>859</v>
      </c>
      <c r="S158" s="1232"/>
      <c r="T158" s="1223"/>
      <c r="U158" s="1229" t="str">
        <f t="shared" si="58"/>
        <v/>
      </c>
      <c r="V158" s="1229" t="str">
        <f t="shared" si="58"/>
        <v/>
      </c>
      <c r="W158" s="1229" t="str">
        <f t="shared" si="58"/>
        <v/>
      </c>
      <c r="X158" s="1239">
        <v>45657</v>
      </c>
      <c r="Y158" s="1239">
        <v>46022</v>
      </c>
      <c r="Z158" s="1239">
        <v>46387</v>
      </c>
      <c r="AA158" s="1239">
        <v>46752</v>
      </c>
      <c r="AB158" s="1229" t="str">
        <f t="shared" si="58"/>
        <v/>
      </c>
      <c r="AC158" s="1229" t="str">
        <f t="shared" si="58"/>
        <v/>
      </c>
      <c r="AD158" s="1229" t="str">
        <f t="shared" si="58"/>
        <v/>
      </c>
      <c r="AE158" s="1230">
        <f t="shared" si="44"/>
        <v>0</v>
      </c>
      <c r="AF158" s="1230">
        <f t="shared" si="44"/>
        <v>0</v>
      </c>
      <c r="AG158" s="1230">
        <f t="shared" si="44"/>
        <v>0</v>
      </c>
      <c r="AH158" s="1230">
        <f t="shared" si="44"/>
        <v>0</v>
      </c>
      <c r="AI158" s="1230">
        <f t="shared" si="44"/>
        <v>0</v>
      </c>
      <c r="AJ158" s="1230">
        <f t="shared" si="44"/>
        <v>0</v>
      </c>
      <c r="AK158" s="1230">
        <f t="shared" si="54"/>
        <v>0</v>
      </c>
      <c r="AL158" s="1230">
        <f t="shared" si="54"/>
        <v>0</v>
      </c>
      <c r="AM158" s="1230">
        <f t="shared" si="54"/>
        <v>0</v>
      </c>
      <c r="AN158" s="1230">
        <f t="shared" si="54"/>
        <v>0</v>
      </c>
      <c r="AO158" s="1231">
        <f t="shared" si="59"/>
        <v>0</v>
      </c>
      <c r="AP158" s="1231">
        <f t="shared" si="59"/>
        <v>0</v>
      </c>
      <c r="AQ158" s="1231">
        <f t="shared" si="59"/>
        <v>0</v>
      </c>
      <c r="AR158" s="1231">
        <f t="shared" si="59"/>
        <v>0</v>
      </c>
      <c r="AS158" s="1231">
        <f t="shared" si="59"/>
        <v>0</v>
      </c>
      <c r="AT158" s="1231">
        <f t="shared" si="59"/>
        <v>0</v>
      </c>
      <c r="AU158" s="1231">
        <f t="shared" si="59"/>
        <v>0</v>
      </c>
      <c r="AV158" s="1231">
        <f t="shared" si="59"/>
        <v>0</v>
      </c>
      <c r="AW158" s="1231">
        <f t="shared" si="59"/>
        <v>0</v>
      </c>
      <c r="AX158" s="1231">
        <f t="shared" si="59"/>
        <v>0</v>
      </c>
    </row>
    <row r="159" spans="1:50" ht="15" hidden="1" outlineLevel="1" x14ac:dyDescent="0.25">
      <c r="A159" s="1218">
        <v>7</v>
      </c>
      <c r="B159" s="1263" t="s">
        <v>860</v>
      </c>
      <c r="C159" s="1225"/>
      <c r="D159" s="1225"/>
      <c r="E159" s="1225"/>
      <c r="F159" s="1225"/>
      <c r="G159" s="1277"/>
      <c r="H159" s="1265">
        <v>0</v>
      </c>
      <c r="I159" s="1265">
        <v>0</v>
      </c>
      <c r="J159" s="1265">
        <v>0</v>
      </c>
      <c r="K159" s="1265">
        <v>0</v>
      </c>
      <c r="L159" s="1265">
        <v>0</v>
      </c>
      <c r="M159" s="1265">
        <v>0</v>
      </c>
      <c r="N159" s="1265">
        <v>0</v>
      </c>
      <c r="O159" s="1227">
        <f t="shared" si="57"/>
        <v>0</v>
      </c>
      <c r="P159" s="1223"/>
      <c r="Q159" s="1232"/>
      <c r="R159" s="1276" t="s">
        <v>707</v>
      </c>
      <c r="S159" s="1232"/>
      <c r="T159" s="1223"/>
      <c r="U159" s="1229" t="str">
        <f t="shared" si="58"/>
        <v/>
      </c>
      <c r="V159" s="1229" t="str">
        <f t="shared" si="58"/>
        <v/>
      </c>
      <c r="W159" s="1229" t="str">
        <f t="shared" si="58"/>
        <v/>
      </c>
      <c r="X159" s="1229" t="str">
        <f t="shared" si="58"/>
        <v/>
      </c>
      <c r="Y159" s="1229" t="str">
        <f t="shared" si="58"/>
        <v/>
      </c>
      <c r="Z159" s="1229" t="str">
        <f t="shared" si="58"/>
        <v/>
      </c>
      <c r="AA159" s="1229" t="str">
        <f t="shared" si="58"/>
        <v/>
      </c>
      <c r="AB159" s="1229" t="str">
        <f t="shared" si="58"/>
        <v/>
      </c>
      <c r="AC159" s="1229" t="str">
        <f t="shared" si="58"/>
        <v/>
      </c>
      <c r="AD159" s="1229" t="str">
        <f t="shared" si="58"/>
        <v/>
      </c>
      <c r="AE159" s="1230">
        <f t="shared" si="44"/>
        <v>0</v>
      </c>
      <c r="AF159" s="1230">
        <f t="shared" si="44"/>
        <v>0</v>
      </c>
      <c r="AG159" s="1230">
        <f t="shared" si="44"/>
        <v>0</v>
      </c>
      <c r="AH159" s="1230">
        <f t="shared" si="44"/>
        <v>0</v>
      </c>
      <c r="AI159" s="1230">
        <f t="shared" si="44"/>
        <v>0</v>
      </c>
      <c r="AJ159" s="1230">
        <f t="shared" si="44"/>
        <v>0</v>
      </c>
      <c r="AK159" s="1230">
        <f t="shared" si="54"/>
        <v>0</v>
      </c>
      <c r="AL159" s="1230">
        <f t="shared" si="54"/>
        <v>0</v>
      </c>
      <c r="AM159" s="1230">
        <f t="shared" si="54"/>
        <v>0</v>
      </c>
      <c r="AN159" s="1230">
        <f t="shared" si="54"/>
        <v>0</v>
      </c>
      <c r="AO159" s="1231">
        <f t="shared" si="59"/>
        <v>0</v>
      </c>
      <c r="AP159" s="1231">
        <f t="shared" si="59"/>
        <v>0</v>
      </c>
      <c r="AQ159" s="1231">
        <f t="shared" si="59"/>
        <v>0</v>
      </c>
      <c r="AR159" s="1231">
        <f t="shared" si="59"/>
        <v>0</v>
      </c>
      <c r="AS159" s="1231">
        <f t="shared" si="59"/>
        <v>0</v>
      </c>
      <c r="AT159" s="1231">
        <f t="shared" si="59"/>
        <v>0</v>
      </c>
      <c r="AU159" s="1231">
        <f t="shared" si="59"/>
        <v>0</v>
      </c>
      <c r="AV159" s="1231">
        <f t="shared" si="59"/>
        <v>0</v>
      </c>
      <c r="AW159" s="1231">
        <f t="shared" si="59"/>
        <v>0</v>
      </c>
      <c r="AX159" s="1231">
        <f t="shared" si="59"/>
        <v>0</v>
      </c>
    </row>
    <row r="160" spans="1:50" ht="15" hidden="1" outlineLevel="1" x14ac:dyDescent="0.25">
      <c r="B160" s="1263" t="s">
        <v>861</v>
      </c>
      <c r="C160" s="1225"/>
      <c r="D160" s="1225"/>
      <c r="E160" s="1225"/>
      <c r="F160" s="1225"/>
      <c r="G160" s="1277"/>
      <c r="H160" s="1265">
        <v>0</v>
      </c>
      <c r="I160" s="1265">
        <v>0</v>
      </c>
      <c r="J160" s="1265">
        <v>0</v>
      </c>
      <c r="K160" s="1265">
        <v>0</v>
      </c>
      <c r="L160" s="1265">
        <v>0</v>
      </c>
      <c r="M160" s="1265">
        <v>0</v>
      </c>
      <c r="N160" s="1265">
        <v>0</v>
      </c>
      <c r="O160" s="1227">
        <f t="shared" si="57"/>
        <v>0</v>
      </c>
      <c r="P160" s="1223"/>
      <c r="Q160" s="1232"/>
      <c r="R160" s="1276" t="s">
        <v>859</v>
      </c>
      <c r="S160" s="1232"/>
      <c r="T160" s="1223"/>
      <c r="U160" s="1229" t="str">
        <f t="shared" si="58"/>
        <v/>
      </c>
      <c r="V160" s="1229" t="str">
        <f t="shared" si="58"/>
        <v/>
      </c>
      <c r="W160" s="1229" t="str">
        <f t="shared" si="58"/>
        <v/>
      </c>
      <c r="X160" s="1239">
        <v>45657</v>
      </c>
      <c r="Y160" s="1239">
        <v>46022</v>
      </c>
      <c r="Z160" s="1239">
        <v>46387</v>
      </c>
      <c r="AA160" s="1239">
        <v>46752</v>
      </c>
      <c r="AB160" s="1229" t="str">
        <f t="shared" si="58"/>
        <v/>
      </c>
      <c r="AC160" s="1229" t="str">
        <f t="shared" si="58"/>
        <v/>
      </c>
      <c r="AD160" s="1229" t="str">
        <f t="shared" si="58"/>
        <v/>
      </c>
      <c r="AE160" s="1230">
        <f t="shared" si="44"/>
        <v>0</v>
      </c>
      <c r="AF160" s="1230">
        <f t="shared" si="44"/>
        <v>0</v>
      </c>
      <c r="AG160" s="1230">
        <f t="shared" si="44"/>
        <v>0</v>
      </c>
      <c r="AH160" s="1230">
        <f t="shared" si="44"/>
        <v>0</v>
      </c>
      <c r="AI160" s="1230">
        <f t="shared" si="44"/>
        <v>0</v>
      </c>
      <c r="AJ160" s="1230">
        <f t="shared" si="44"/>
        <v>0</v>
      </c>
      <c r="AK160" s="1230">
        <f t="shared" si="54"/>
        <v>0</v>
      </c>
      <c r="AL160" s="1230">
        <f t="shared" si="54"/>
        <v>0</v>
      </c>
      <c r="AM160" s="1230">
        <f t="shared" si="54"/>
        <v>0</v>
      </c>
      <c r="AN160" s="1230">
        <f t="shared" si="54"/>
        <v>0</v>
      </c>
      <c r="AO160" s="1231">
        <f t="shared" si="59"/>
        <v>0</v>
      </c>
      <c r="AP160" s="1231">
        <f t="shared" si="59"/>
        <v>0</v>
      </c>
      <c r="AQ160" s="1231">
        <f t="shared" si="59"/>
        <v>0</v>
      </c>
      <c r="AR160" s="1231">
        <f t="shared" si="59"/>
        <v>0</v>
      </c>
      <c r="AS160" s="1231">
        <f t="shared" si="59"/>
        <v>0</v>
      </c>
      <c r="AT160" s="1231">
        <f t="shared" si="59"/>
        <v>0</v>
      </c>
      <c r="AU160" s="1231">
        <f t="shared" si="59"/>
        <v>0</v>
      </c>
      <c r="AV160" s="1231">
        <f t="shared" si="59"/>
        <v>0</v>
      </c>
      <c r="AW160" s="1231">
        <f t="shared" si="59"/>
        <v>0</v>
      </c>
      <c r="AX160" s="1231">
        <f t="shared" si="59"/>
        <v>0</v>
      </c>
    </row>
    <row r="161" spans="1:40" hidden="1" outlineLevel="1" x14ac:dyDescent="0.2">
      <c r="B161" s="1249"/>
      <c r="C161" s="1223"/>
      <c r="D161" s="1223"/>
      <c r="E161" s="1223"/>
      <c r="F161" s="1223"/>
      <c r="G161" s="1223"/>
      <c r="H161" s="1223"/>
      <c r="I161" s="1223"/>
      <c r="J161" s="1223"/>
      <c r="K161" s="1223"/>
      <c r="L161" s="1223"/>
      <c r="M161" s="1223"/>
      <c r="N161" s="1223"/>
      <c r="O161" s="1223"/>
      <c r="P161" s="1223"/>
      <c r="Q161" s="1232"/>
      <c r="S161" s="1232"/>
      <c r="T161" s="1223"/>
      <c r="U161" s="1238"/>
      <c r="V161" s="1238"/>
      <c r="W161" s="1238"/>
      <c r="X161" s="1238"/>
      <c r="Y161" s="1238"/>
      <c r="Z161" s="1238"/>
      <c r="AA161" s="1238"/>
      <c r="AB161" s="1238"/>
      <c r="AC161" s="1238"/>
      <c r="AD161" s="1238"/>
      <c r="AE161" s="1230">
        <f t="shared" si="44"/>
        <v>0</v>
      </c>
      <c r="AF161" s="1230">
        <f t="shared" si="44"/>
        <v>0</v>
      </c>
      <c r="AG161" s="1230">
        <f t="shared" si="44"/>
        <v>0</v>
      </c>
      <c r="AH161" s="1230">
        <f t="shared" si="44"/>
        <v>0</v>
      </c>
      <c r="AI161" s="1230">
        <f t="shared" si="44"/>
        <v>0</v>
      </c>
      <c r="AJ161" s="1230">
        <f t="shared" si="44"/>
        <v>0</v>
      </c>
      <c r="AK161" s="1230">
        <f t="shared" si="54"/>
        <v>0</v>
      </c>
      <c r="AL161" s="1230">
        <f t="shared" si="54"/>
        <v>0</v>
      </c>
      <c r="AM161" s="1230">
        <f t="shared" si="54"/>
        <v>0</v>
      </c>
      <c r="AN161" s="1230">
        <f t="shared" si="54"/>
        <v>0</v>
      </c>
    </row>
    <row r="162" spans="1:40" s="1207" customFormat="1" ht="15" hidden="1" collapsed="1" x14ac:dyDescent="0.25">
      <c r="A162" s="1213">
        <f>+A161+1</f>
        <v>1</v>
      </c>
      <c r="B162" s="1204" t="s">
        <v>655</v>
      </c>
      <c r="C162" s="1216"/>
      <c r="D162" s="1216"/>
      <c r="E162" s="1216"/>
      <c r="F162" s="1216"/>
      <c r="G162" s="1216"/>
      <c r="H162" s="1216">
        <f t="shared" ref="H162:N162" si="60">+SUM(H163:H165)</f>
        <v>0</v>
      </c>
      <c r="I162" s="1216">
        <f t="shared" si="60"/>
        <v>0</v>
      </c>
      <c r="J162" s="1216">
        <f t="shared" si="60"/>
        <v>0</v>
      </c>
      <c r="K162" s="1216">
        <f t="shared" si="60"/>
        <v>0</v>
      </c>
      <c r="L162" s="1216">
        <f t="shared" si="60"/>
        <v>0</v>
      </c>
      <c r="M162" s="1216">
        <f t="shared" si="60"/>
        <v>0</v>
      </c>
      <c r="N162" s="1216">
        <f t="shared" si="60"/>
        <v>0</v>
      </c>
      <c r="O162" s="1216">
        <f>+SUM(O163:O165)</f>
        <v>0</v>
      </c>
      <c r="P162" s="1217"/>
      <c r="Q162" s="1244"/>
      <c r="S162" s="1244"/>
      <c r="T162" s="1217"/>
      <c r="AE162" s="1230">
        <f t="shared" si="44"/>
        <v>0</v>
      </c>
      <c r="AF162" s="1230">
        <f t="shared" si="44"/>
        <v>0</v>
      </c>
      <c r="AG162" s="1230">
        <f t="shared" si="44"/>
        <v>0</v>
      </c>
      <c r="AH162" s="1230">
        <f t="shared" si="44"/>
        <v>0</v>
      </c>
      <c r="AI162" s="1230">
        <f t="shared" si="44"/>
        <v>0</v>
      </c>
      <c r="AJ162" s="1230">
        <f t="shared" si="44"/>
        <v>0</v>
      </c>
      <c r="AK162" s="1230">
        <f t="shared" si="54"/>
        <v>0</v>
      </c>
      <c r="AL162" s="1230">
        <f t="shared" si="54"/>
        <v>0</v>
      </c>
      <c r="AM162" s="1230">
        <f t="shared" si="54"/>
        <v>0</v>
      </c>
      <c r="AN162" s="1230">
        <f t="shared" si="54"/>
        <v>0</v>
      </c>
    </row>
    <row r="163" spans="1:40" ht="15" hidden="1" x14ac:dyDescent="0.25">
      <c r="A163" s="1218">
        <v>1</v>
      </c>
      <c r="B163" s="1262"/>
      <c r="C163" s="1270"/>
      <c r="D163" s="1270"/>
      <c r="E163" s="1270"/>
      <c r="F163" s="1270"/>
      <c r="G163" s="1270"/>
      <c r="H163" s="1278"/>
      <c r="I163" s="1270"/>
      <c r="J163" s="1270"/>
      <c r="K163" s="1270"/>
      <c r="L163" s="1270"/>
      <c r="M163" s="1235"/>
      <c r="N163" s="1270"/>
      <c r="O163" s="1227">
        <f>SUM(C163:N163)</f>
        <v>0</v>
      </c>
      <c r="P163" s="1223"/>
      <c r="Q163" s="1232"/>
      <c r="R163" s="1218"/>
      <c r="S163" s="1232"/>
      <c r="T163" s="1223"/>
      <c r="U163" s="1238"/>
      <c r="V163" s="1238"/>
      <c r="W163" s="1229"/>
      <c r="X163" s="1229"/>
      <c r="Y163" s="1238"/>
      <c r="Z163" s="1238"/>
      <c r="AA163" s="1232"/>
      <c r="AB163" s="1232"/>
      <c r="AC163" s="1229"/>
      <c r="AD163" s="1238"/>
      <c r="AE163" s="1230">
        <f t="shared" si="44"/>
        <v>0</v>
      </c>
      <c r="AF163" s="1230">
        <f t="shared" si="44"/>
        <v>0</v>
      </c>
      <c r="AG163" s="1230">
        <f t="shared" si="44"/>
        <v>0</v>
      </c>
      <c r="AH163" s="1230">
        <f t="shared" si="44"/>
        <v>0</v>
      </c>
      <c r="AI163" s="1230">
        <f t="shared" si="44"/>
        <v>0</v>
      </c>
      <c r="AJ163" s="1230">
        <f t="shared" si="44"/>
        <v>0</v>
      </c>
      <c r="AK163" s="1230">
        <f t="shared" si="54"/>
        <v>0</v>
      </c>
      <c r="AL163" s="1230">
        <f t="shared" si="54"/>
        <v>0</v>
      </c>
      <c r="AM163" s="1230">
        <f t="shared" si="54"/>
        <v>0</v>
      </c>
      <c r="AN163" s="1230">
        <f t="shared" si="54"/>
        <v>0</v>
      </c>
    </row>
    <row r="164" spans="1:40" hidden="1" x14ac:dyDescent="0.2">
      <c r="A164" s="1218">
        <v>2</v>
      </c>
      <c r="B164" s="1262"/>
      <c r="C164" s="1270"/>
      <c r="D164" s="1270"/>
      <c r="E164" s="1270"/>
      <c r="F164" s="1270"/>
      <c r="G164" s="1278"/>
      <c r="H164" s="1235"/>
      <c r="I164" s="1270"/>
      <c r="J164" s="1270"/>
      <c r="K164" s="1270"/>
      <c r="L164" s="1270"/>
      <c r="M164" s="1270"/>
      <c r="N164" s="1270"/>
      <c r="O164" s="1223">
        <f t="shared" si="56"/>
        <v>0</v>
      </c>
      <c r="S164" s="1232"/>
      <c r="U164" s="1238"/>
      <c r="V164" s="1238"/>
      <c r="W164" s="1229"/>
      <c r="X164" s="1229"/>
      <c r="Y164" s="1238"/>
      <c r="Z164" s="1238"/>
      <c r="AA164" s="1232"/>
      <c r="AB164" s="1238"/>
      <c r="AC164" s="1238"/>
      <c r="AD164" s="1238"/>
      <c r="AE164" s="1230">
        <f t="shared" si="44"/>
        <v>0</v>
      </c>
      <c r="AF164" s="1230">
        <f t="shared" si="44"/>
        <v>0</v>
      </c>
      <c r="AG164" s="1230">
        <f t="shared" si="44"/>
        <v>0</v>
      </c>
      <c r="AH164" s="1230">
        <f t="shared" si="44"/>
        <v>0</v>
      </c>
      <c r="AI164" s="1230">
        <f t="shared" si="44"/>
        <v>0</v>
      </c>
      <c r="AJ164" s="1230">
        <f t="shared" si="44"/>
        <v>0</v>
      </c>
      <c r="AK164" s="1230">
        <f t="shared" si="54"/>
        <v>0</v>
      </c>
      <c r="AL164" s="1230">
        <f t="shared" si="54"/>
        <v>0</v>
      </c>
      <c r="AM164" s="1230">
        <f t="shared" si="54"/>
        <v>0</v>
      </c>
      <c r="AN164" s="1230">
        <f t="shared" si="54"/>
        <v>0</v>
      </c>
    </row>
    <row r="165" spans="1:40" hidden="1" x14ac:dyDescent="0.2">
      <c r="A165" s="1218">
        <v>3</v>
      </c>
      <c r="B165" s="1279"/>
      <c r="E165" s="1279"/>
      <c r="S165" s="1232"/>
      <c r="Y165" s="1232"/>
      <c r="AB165" s="1232"/>
      <c r="AE165" s="1230">
        <f t="shared" si="44"/>
        <v>0</v>
      </c>
      <c r="AF165" s="1230">
        <f t="shared" si="44"/>
        <v>0</v>
      </c>
      <c r="AG165" s="1230">
        <f t="shared" si="44"/>
        <v>0</v>
      </c>
      <c r="AH165" s="1230">
        <f t="shared" si="44"/>
        <v>0</v>
      </c>
      <c r="AI165" s="1230">
        <f t="shared" si="44"/>
        <v>0</v>
      </c>
      <c r="AJ165" s="1230">
        <f t="shared" si="44"/>
        <v>0</v>
      </c>
      <c r="AK165" s="1230">
        <f t="shared" si="54"/>
        <v>0</v>
      </c>
      <c r="AL165" s="1230">
        <f t="shared" si="54"/>
        <v>0</v>
      </c>
      <c r="AM165" s="1230">
        <f t="shared" si="54"/>
        <v>0</v>
      </c>
      <c r="AN165" s="1230">
        <f t="shared" si="54"/>
        <v>0</v>
      </c>
    </row>
    <row r="166" spans="1:40" hidden="1" x14ac:dyDescent="0.2"/>
    <row r="167" spans="1:40" ht="15" thickBot="1" x14ac:dyDescent="0.25"/>
    <row r="168" spans="1:40" ht="15.75" thickBot="1" x14ac:dyDescent="0.3">
      <c r="B168" s="1280" t="s">
        <v>657</v>
      </c>
      <c r="C168" s="1281"/>
      <c r="D168" s="1281"/>
      <c r="E168" s="1282"/>
      <c r="F168" s="1282"/>
      <c r="G168" s="1282"/>
      <c r="H168" s="1282">
        <f t="shared" ref="H168:N168" si="61">SUMPRODUCT(H12:H164,AH12:AH164)</f>
        <v>10130.557935140823</v>
      </c>
      <c r="I168" s="1282">
        <f t="shared" si="61"/>
        <v>112504.07087047232</v>
      </c>
      <c r="J168" s="1282">
        <f t="shared" si="61"/>
        <v>28020.970458664389</v>
      </c>
      <c r="K168" s="1282">
        <f t="shared" si="61"/>
        <v>0</v>
      </c>
      <c r="L168" s="1282">
        <f t="shared" si="61"/>
        <v>0</v>
      </c>
      <c r="M168" s="1282">
        <f t="shared" si="61"/>
        <v>0</v>
      </c>
      <c r="N168" s="1282">
        <f t="shared" si="61"/>
        <v>0</v>
      </c>
    </row>
    <row r="169" spans="1:40" x14ac:dyDescent="0.2">
      <c r="B169" s="1283" t="s">
        <v>862</v>
      </c>
      <c r="E169" s="1223"/>
      <c r="F169" s="1223"/>
      <c r="G169" s="1223"/>
      <c r="H169" s="1223">
        <f t="shared" ref="H169:N169" si="62">SUMPRODUCT(H12:H57,AH12:AH57)+SUMPRODUCT(H81:H134,AH81:AH134)</f>
        <v>10130.557935140823</v>
      </c>
      <c r="I169" s="1223">
        <f t="shared" si="62"/>
        <v>107150.82056975999</v>
      </c>
      <c r="J169" s="1223">
        <f t="shared" si="62"/>
        <v>28020.970458664389</v>
      </c>
      <c r="K169" s="1223">
        <f t="shared" si="62"/>
        <v>0</v>
      </c>
      <c r="L169" s="1223">
        <f t="shared" si="62"/>
        <v>0</v>
      </c>
      <c r="M169" s="1223">
        <f t="shared" si="62"/>
        <v>0</v>
      </c>
      <c r="N169" s="1223">
        <f t="shared" si="62"/>
        <v>0</v>
      </c>
      <c r="O169" s="1223">
        <f t="shared" ref="O169:O173" si="63">+SUM(E169:N169)</f>
        <v>145302.34896356519</v>
      </c>
    </row>
    <row r="170" spans="1:40" x14ac:dyDescent="0.2">
      <c r="B170" s="1283" t="s">
        <v>658</v>
      </c>
      <c r="E170" s="1223"/>
      <c r="F170" s="1223"/>
      <c r="G170" s="1223"/>
      <c r="H170" s="1223">
        <f t="shared" ref="H170:N170" si="64">SUMPRODUCT(H65:H76,AH65:AH76)</f>
        <v>0</v>
      </c>
      <c r="I170" s="1223">
        <f t="shared" si="64"/>
        <v>0</v>
      </c>
      <c r="J170" s="1223">
        <f t="shared" si="64"/>
        <v>0</v>
      </c>
      <c r="K170" s="1223">
        <f t="shared" si="64"/>
        <v>0</v>
      </c>
      <c r="L170" s="1223">
        <f t="shared" si="64"/>
        <v>0</v>
      </c>
      <c r="M170" s="1223">
        <f t="shared" si="64"/>
        <v>0</v>
      </c>
      <c r="N170" s="1223">
        <f t="shared" si="64"/>
        <v>0</v>
      </c>
      <c r="O170" s="1223">
        <f t="shared" si="63"/>
        <v>0</v>
      </c>
    </row>
    <row r="171" spans="1:40" x14ac:dyDescent="0.2">
      <c r="B171" s="1283" t="s">
        <v>659</v>
      </c>
      <c r="E171" s="1223"/>
      <c r="F171" s="1223"/>
      <c r="G171" s="1223"/>
      <c r="H171" s="1223">
        <f t="shared" ref="H171:N171" si="65">+SUMPRODUCT(H163:H165,AL163:AL165)</f>
        <v>0</v>
      </c>
      <c r="I171" s="1223">
        <f t="shared" si="65"/>
        <v>0</v>
      </c>
      <c r="J171" s="1223">
        <f t="shared" si="65"/>
        <v>0</v>
      </c>
      <c r="K171" s="1223">
        <f t="shared" si="65"/>
        <v>0</v>
      </c>
      <c r="L171" s="1223">
        <f t="shared" si="65"/>
        <v>0</v>
      </c>
      <c r="M171" s="1223">
        <f t="shared" si="65"/>
        <v>0</v>
      </c>
      <c r="N171" s="1223">
        <f t="shared" si="65"/>
        <v>0</v>
      </c>
      <c r="O171" s="1223">
        <f t="shared" si="63"/>
        <v>0</v>
      </c>
    </row>
    <row r="172" spans="1:40" x14ac:dyDescent="0.2">
      <c r="B172" s="1283" t="s">
        <v>660</v>
      </c>
      <c r="E172" s="1223"/>
      <c r="F172" s="1223"/>
      <c r="G172" s="1223"/>
      <c r="H172" s="1223">
        <f t="shared" ref="H172:N172" si="66">SUMPRODUCT(H152:H161,AH152:AH161)</f>
        <v>0</v>
      </c>
      <c r="I172" s="1223">
        <f t="shared" si="66"/>
        <v>0</v>
      </c>
      <c r="J172" s="1223">
        <f t="shared" si="66"/>
        <v>0</v>
      </c>
      <c r="K172" s="1223">
        <f t="shared" si="66"/>
        <v>0</v>
      </c>
      <c r="L172" s="1223">
        <f t="shared" si="66"/>
        <v>0</v>
      </c>
      <c r="M172" s="1223">
        <f t="shared" si="66"/>
        <v>0</v>
      </c>
      <c r="N172" s="1223">
        <f t="shared" si="66"/>
        <v>0</v>
      </c>
      <c r="O172" s="1223">
        <f t="shared" si="63"/>
        <v>0</v>
      </c>
    </row>
    <row r="173" spans="1:40" x14ac:dyDescent="0.2">
      <c r="B173" s="1284" t="s">
        <v>120</v>
      </c>
      <c r="C173" s="1285"/>
      <c r="D173" s="1285"/>
      <c r="E173" s="1286"/>
      <c r="F173" s="1286"/>
      <c r="G173" s="1286"/>
      <c r="H173" s="1286">
        <f t="shared" ref="H173:N173" si="67">SUMPRODUCT(H137:H150,AH137:AH150)</f>
        <v>0</v>
      </c>
      <c r="I173" s="1286">
        <f t="shared" si="67"/>
        <v>5353.2503007123287</v>
      </c>
      <c r="J173" s="1286">
        <f t="shared" si="67"/>
        <v>0</v>
      </c>
      <c r="K173" s="1286">
        <f t="shared" si="67"/>
        <v>0</v>
      </c>
      <c r="L173" s="1286">
        <f t="shared" si="67"/>
        <v>0</v>
      </c>
      <c r="M173" s="1286">
        <f t="shared" si="67"/>
        <v>0</v>
      </c>
      <c r="N173" s="1286">
        <f t="shared" si="67"/>
        <v>0</v>
      </c>
      <c r="O173" s="1223">
        <f t="shared" si="63"/>
        <v>5353.2503007123287</v>
      </c>
    </row>
    <row r="174" spans="1:40" ht="15" x14ac:dyDescent="0.25">
      <c r="B174" s="1287" t="s">
        <v>661</v>
      </c>
      <c r="C174" s="1288"/>
      <c r="D174" s="1288"/>
      <c r="E174" s="1289">
        <f t="shared" ref="E174:N174" si="68">E168-SUM(E169:E173)</f>
        <v>0</v>
      </c>
      <c r="F174" s="1289">
        <f t="shared" si="68"/>
        <v>0</v>
      </c>
      <c r="G174" s="1289">
        <f t="shared" si="68"/>
        <v>0</v>
      </c>
      <c r="H174" s="1289">
        <f t="shared" si="68"/>
        <v>0</v>
      </c>
      <c r="I174" s="1289">
        <f t="shared" si="68"/>
        <v>0</v>
      </c>
      <c r="J174" s="1289">
        <f t="shared" si="68"/>
        <v>0</v>
      </c>
      <c r="K174" s="1289">
        <f t="shared" si="68"/>
        <v>0</v>
      </c>
      <c r="L174" s="1289">
        <f t="shared" si="68"/>
        <v>0</v>
      </c>
      <c r="M174" s="1289">
        <f t="shared" si="68"/>
        <v>0</v>
      </c>
      <c r="N174" s="1290">
        <f t="shared" si="68"/>
        <v>0</v>
      </c>
    </row>
  </sheetData>
  <mergeCells count="7">
    <mergeCell ref="S4:S5"/>
    <mergeCell ref="Q6:Q7"/>
    <mergeCell ref="R6:R7"/>
    <mergeCell ref="A1:O1"/>
    <mergeCell ref="A2:O2"/>
    <mergeCell ref="A3:O3"/>
    <mergeCell ref="A4:O4"/>
  </mergeCells>
  <conditionalFormatting sqref="D23:M28">
    <cfRule type="cellIs" dxfId="0" priority="1" operator="notEqual">
      <formula>0</formula>
    </cfRule>
  </conditionalFormatting>
  <printOptions horizontalCentered="1"/>
  <pageMargins left="0" right="0" top="0" bottom="0" header="0" footer="0"/>
  <pageSetup scale="57" orientation="landscape" r:id="rId1"/>
  <rowBreaks count="2" manualBreakCount="2">
    <brk id="48" max="17" man="1"/>
    <brk id="80" max="1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B1:Q34"/>
  <sheetViews>
    <sheetView showGridLines="0" zoomScale="85" zoomScaleNormal="85" workbookViewId="0">
      <selection activeCell="H16" sqref="H16"/>
    </sheetView>
  </sheetViews>
  <sheetFormatPr baseColWidth="10" defaultColWidth="11.42578125" defaultRowHeight="14.25" x14ac:dyDescent="0.2"/>
  <cols>
    <col min="1" max="1" width="3" style="75" customWidth="1"/>
    <col min="2" max="2" width="43.7109375" style="75" customWidth="1"/>
    <col min="3" max="3" width="11.42578125" style="75"/>
    <col min="4" max="4" width="13.28515625" style="75" bestFit="1" customWidth="1"/>
    <col min="5" max="5" width="14.28515625" style="75" customWidth="1"/>
    <col min="6" max="6" width="15.5703125" style="75" customWidth="1"/>
    <col min="7" max="7" width="14.28515625" style="75" customWidth="1"/>
    <col min="8" max="8" width="15.42578125" style="75" customWidth="1"/>
    <col min="9" max="9" width="14.7109375" style="75" customWidth="1"/>
    <col min="10" max="13" width="13.42578125" style="75" customWidth="1"/>
    <col min="14" max="14" width="19" style="75" customWidth="1"/>
    <col min="15" max="15" width="13" style="75" customWidth="1"/>
    <col min="16" max="16384" width="11.42578125" style="75"/>
  </cols>
  <sheetData>
    <row r="1" spans="2:17" ht="24" customHeight="1" x14ac:dyDescent="0.25">
      <c r="B1" s="1793" t="s">
        <v>89</v>
      </c>
      <c r="C1" s="1793"/>
      <c r="D1" s="1793"/>
      <c r="E1" s="1793"/>
      <c r="F1" s="1793"/>
      <c r="G1" s="1793"/>
      <c r="H1" s="1793"/>
      <c r="I1" s="1793"/>
      <c r="J1" s="1793"/>
      <c r="K1" s="1793"/>
      <c r="L1" s="1793"/>
      <c r="M1" s="1793"/>
      <c r="N1" s="1793"/>
      <c r="O1" s="1793"/>
    </row>
    <row r="2" spans="2:17" ht="15" x14ac:dyDescent="0.25">
      <c r="B2" s="1793" t="s">
        <v>90</v>
      </c>
      <c r="C2" s="1793"/>
      <c r="D2" s="1793"/>
      <c r="E2" s="1793"/>
      <c r="F2" s="1793"/>
      <c r="G2" s="1793"/>
      <c r="H2" s="1793"/>
      <c r="I2" s="1793"/>
      <c r="J2" s="1793"/>
      <c r="K2" s="1793"/>
      <c r="L2" s="1793"/>
      <c r="M2" s="1793"/>
      <c r="N2" s="1793"/>
      <c r="O2" s="1793"/>
    </row>
    <row r="3" spans="2:17" ht="15.75" thickBot="1" x14ac:dyDescent="0.3">
      <c r="B3" s="1796" t="s">
        <v>27</v>
      </c>
      <c r="C3" s="1796"/>
      <c r="D3" s="1796"/>
      <c r="E3" s="1796"/>
      <c r="F3" s="1796"/>
      <c r="G3" s="1796"/>
      <c r="H3" s="1796"/>
      <c r="I3" s="1796"/>
      <c r="J3" s="1796"/>
      <c r="K3" s="1796"/>
      <c r="L3" s="1796"/>
      <c r="M3" s="1796"/>
      <c r="N3" s="1796"/>
      <c r="O3" s="1796"/>
    </row>
    <row r="4" spans="2:17" ht="12.75" customHeight="1" x14ac:dyDescent="0.2">
      <c r="B4" s="1791" t="s">
        <v>28</v>
      </c>
      <c r="C4" s="1789" t="s">
        <v>8</v>
      </c>
      <c r="D4" s="1789" t="s">
        <v>29</v>
      </c>
      <c r="E4" s="1789" t="s">
        <v>30</v>
      </c>
      <c r="F4" s="1789" t="s">
        <v>31</v>
      </c>
      <c r="G4" s="1789" t="s">
        <v>32</v>
      </c>
      <c r="H4" s="1789" t="s">
        <v>33</v>
      </c>
      <c r="I4" s="1789" t="s">
        <v>94</v>
      </c>
      <c r="J4" s="1789" t="s">
        <v>170</v>
      </c>
      <c r="K4" s="1789" t="s">
        <v>728</v>
      </c>
      <c r="L4" s="1789" t="s">
        <v>729</v>
      </c>
      <c r="M4" s="1797" t="s">
        <v>920</v>
      </c>
      <c r="N4" s="1789" t="s">
        <v>98</v>
      </c>
      <c r="O4" s="1794" t="s">
        <v>34</v>
      </c>
    </row>
    <row r="5" spans="2:17" ht="15" thickBot="1" x14ac:dyDescent="0.25">
      <c r="B5" s="1792"/>
      <c r="C5" s="1790"/>
      <c r="D5" s="1790"/>
      <c r="E5" s="1790"/>
      <c r="F5" s="1790"/>
      <c r="G5" s="1790"/>
      <c r="H5" s="1790"/>
      <c r="I5" s="1790"/>
      <c r="J5" s="1790"/>
      <c r="K5" s="1790"/>
      <c r="L5" s="1790"/>
      <c r="M5" s="1798"/>
      <c r="N5" s="1790"/>
      <c r="O5" s="1795">
        <f>SUM(D5:H5)</f>
        <v>0</v>
      </c>
    </row>
    <row r="6" spans="2:17" ht="15" x14ac:dyDescent="0.25">
      <c r="B6" s="138" t="str">
        <f>+' VNR'!B4</f>
        <v>Salidas de Conexión</v>
      </c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78">
        <f>SUM(D6:N6)</f>
        <v>0</v>
      </c>
    </row>
    <row r="7" spans="2:17" ht="15" x14ac:dyDescent="0.25">
      <c r="B7" s="76" t="str">
        <f>+' VNR'!B5</f>
        <v>CXS34.5 Barra Sencilla</v>
      </c>
      <c r="C7" s="77" t="s">
        <v>35</v>
      </c>
      <c r="D7" s="77"/>
      <c r="E7" s="1610">
        <f>+'SALIDAS Y TRANSFORMACION'!D66</f>
        <v>4</v>
      </c>
      <c r="F7" s="77"/>
      <c r="G7" s="77"/>
      <c r="H7" s="77"/>
      <c r="I7" s="77">
        <v>2</v>
      </c>
      <c r="J7" s="77"/>
      <c r="K7" s="77"/>
      <c r="L7" s="77"/>
      <c r="M7" s="77"/>
      <c r="N7" s="77"/>
      <c r="O7" s="78">
        <f>SUM(D7:N7)</f>
        <v>6</v>
      </c>
    </row>
    <row r="8" spans="2:17" ht="15" x14ac:dyDescent="0.25">
      <c r="B8" s="76" t="str">
        <f>+' VNR'!B6</f>
        <v>CXS34.5 Interruptor y Medio</v>
      </c>
      <c r="C8" s="77" t="s">
        <v>35</v>
      </c>
      <c r="D8" s="77">
        <f>+'SALIDAS Y TRANSFORMACION'!D70</f>
        <v>6</v>
      </c>
      <c r="E8" s="77"/>
      <c r="F8" s="77">
        <f>+'SALIDAS Y TRANSFORMACION'!D69</f>
        <v>4</v>
      </c>
      <c r="G8" s="1657">
        <v>4</v>
      </c>
      <c r="H8" s="77"/>
      <c r="I8" s="77"/>
      <c r="J8" s="77"/>
      <c r="K8" s="77"/>
      <c r="L8" s="77"/>
      <c r="M8" s="77"/>
      <c r="N8" s="77"/>
      <c r="O8" s="78">
        <f t="shared" ref="O8:O15" si="0">SUM(D8:N8)</f>
        <v>14</v>
      </c>
    </row>
    <row r="9" spans="2:17" ht="15" x14ac:dyDescent="0.25">
      <c r="B9" s="76" t="str">
        <f>+' VNR'!B7</f>
        <v>CXS115 Barra Sencilla</v>
      </c>
      <c r="C9" s="77" t="s">
        <v>35</v>
      </c>
      <c r="D9" s="77"/>
      <c r="E9" s="77"/>
      <c r="F9" s="77"/>
      <c r="G9" s="1610">
        <f>+'SALIDAS Y TRANSFORMACION'!D60</f>
        <v>1</v>
      </c>
      <c r="H9" s="77"/>
      <c r="I9" s="77"/>
      <c r="J9" s="77"/>
      <c r="K9" s="77"/>
      <c r="L9" s="77"/>
      <c r="M9" s="77"/>
      <c r="N9" s="77"/>
      <c r="O9" s="78">
        <f t="shared" si="0"/>
        <v>1</v>
      </c>
    </row>
    <row r="10" spans="2:17" ht="15" x14ac:dyDescent="0.25">
      <c r="B10" s="76" t="str">
        <f>+' VNR'!B8</f>
        <v>CXS115 Interruptor y Medio</v>
      </c>
      <c r="C10" s="77" t="s">
        <v>35</v>
      </c>
      <c r="D10" s="77"/>
      <c r="E10" s="77">
        <f>+'SALIDAS Y TRANSFORMACION'!D59</f>
        <v>3</v>
      </c>
      <c r="F10" s="77"/>
      <c r="G10" s="77"/>
      <c r="H10" s="77"/>
      <c r="I10" s="77"/>
      <c r="J10" s="77"/>
      <c r="K10" s="77"/>
      <c r="L10" s="77"/>
      <c r="M10" s="77"/>
      <c r="N10" s="77"/>
      <c r="O10" s="78">
        <f t="shared" si="0"/>
        <v>3</v>
      </c>
    </row>
    <row r="11" spans="2:17" ht="15" x14ac:dyDescent="0.25">
      <c r="B11" s="76" t="str">
        <f>+' VNR'!B9</f>
        <v>CXS230 Interruptor y Medio</v>
      </c>
      <c r="C11" s="77" t="s">
        <v>35</v>
      </c>
      <c r="D11" s="77"/>
      <c r="E11" s="77"/>
      <c r="F11" s="77"/>
      <c r="G11" s="77"/>
      <c r="H11" s="77"/>
      <c r="I11" s="77"/>
      <c r="J11" s="1657">
        <v>1</v>
      </c>
      <c r="K11" s="1610">
        <f>+'SALIDAS Y TRANSFORMACION'!D25</f>
        <v>2</v>
      </c>
      <c r="L11" s="1657">
        <v>2</v>
      </c>
      <c r="M11" s="1657">
        <v>4</v>
      </c>
      <c r="N11" s="1657">
        <v>3</v>
      </c>
      <c r="O11" s="1463">
        <f t="shared" si="0"/>
        <v>12</v>
      </c>
    </row>
    <row r="12" spans="2:17" ht="15" x14ac:dyDescent="0.25">
      <c r="B12" s="140" t="str">
        <f>+' VNR'!B11</f>
        <v>Transformadores</v>
      </c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8">
        <f t="shared" si="0"/>
        <v>0</v>
      </c>
      <c r="P12" s="259">
        <f>SUM(O6:O12)</f>
        <v>36</v>
      </c>
      <c r="Q12" s="75" t="s">
        <v>292</v>
      </c>
    </row>
    <row r="13" spans="2:17" ht="15" x14ac:dyDescent="0.25">
      <c r="B13" s="76" t="str">
        <f>+' VNR'!B34</f>
        <v>CXTR Reductor 60/80/100 MVA</v>
      </c>
      <c r="C13" s="77" t="s">
        <v>2</v>
      </c>
      <c r="D13" s="1657">
        <f>+'SALIDAS Y TRANSFORMACION'!D21</f>
        <v>300</v>
      </c>
      <c r="E13" s="1657">
        <f>+'SALIDAS Y TRANSFORMACION'!D7</f>
        <v>300</v>
      </c>
      <c r="F13" s="77"/>
      <c r="G13" s="77"/>
      <c r="H13" s="77"/>
      <c r="I13" s="77"/>
      <c r="J13" s="77"/>
      <c r="K13" s="77"/>
      <c r="L13" s="77"/>
      <c r="M13" s="77"/>
      <c r="N13" s="77"/>
      <c r="O13" s="78">
        <f t="shared" si="0"/>
        <v>600</v>
      </c>
    </row>
    <row r="14" spans="2:17" ht="15" x14ac:dyDescent="0.25">
      <c r="B14" s="76" t="str">
        <f>+' VNR'!B13</f>
        <v>CXTR Reductor 42/56/70 MVA</v>
      </c>
      <c r="C14" s="77" t="s">
        <v>2</v>
      </c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8">
        <f t="shared" si="0"/>
        <v>0</v>
      </c>
    </row>
    <row r="15" spans="2:17" ht="15" x14ac:dyDescent="0.25">
      <c r="B15" s="76" t="str">
        <f>+' VNR'!B14</f>
        <v>CXTR Reductor 30/40/50 MVA</v>
      </c>
      <c r="C15" s="77" t="s">
        <v>2</v>
      </c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8">
        <f t="shared" si="0"/>
        <v>0</v>
      </c>
    </row>
    <row r="16" spans="2:17" ht="15" x14ac:dyDescent="0.25">
      <c r="B16" s="76" t="s">
        <v>1049</v>
      </c>
      <c r="C16" s="77" t="s">
        <v>2</v>
      </c>
      <c r="D16" s="77"/>
      <c r="E16" s="77"/>
      <c r="F16" s="77"/>
      <c r="G16" s="77"/>
      <c r="H16" s="1657">
        <v>24</v>
      </c>
      <c r="I16" s="77"/>
      <c r="J16" s="77"/>
      <c r="K16" s="77"/>
      <c r="L16" s="77"/>
      <c r="M16" s="77"/>
      <c r="N16" s="77"/>
      <c r="O16" s="78">
        <f t="shared" ref="O16" si="1">SUM(D16:N16)</f>
        <v>24</v>
      </c>
    </row>
    <row r="17" spans="2:16" ht="15.75" thickBot="1" x14ac:dyDescent="0.3">
      <c r="B17" s="76" t="str">
        <f>+' VNR'!B16</f>
        <v xml:space="preserve">Reemplazos </v>
      </c>
      <c r="C17" s="1601"/>
      <c r="D17" s="1601"/>
      <c r="E17" s="1601"/>
      <c r="F17" s="1601"/>
      <c r="G17" s="1601"/>
      <c r="H17" s="1601"/>
      <c r="I17" s="1601"/>
      <c r="J17" s="1601"/>
      <c r="K17" s="1601"/>
      <c r="L17" s="1601"/>
      <c r="M17" s="1601"/>
      <c r="N17" s="1601"/>
      <c r="O17" s="1602"/>
    </row>
    <row r="18" spans="2:16" ht="36.75" customHeight="1" thickBot="1" x14ac:dyDescent="0.3">
      <c r="B18" s="141" t="s">
        <v>7</v>
      </c>
      <c r="C18" s="142"/>
      <c r="D18" s="143" t="s">
        <v>36</v>
      </c>
      <c r="E18" s="143" t="s">
        <v>37</v>
      </c>
      <c r="F18" s="143" t="s">
        <v>38</v>
      </c>
      <c r="G18" s="143" t="s">
        <v>39</v>
      </c>
      <c r="H18" s="143" t="s">
        <v>1048</v>
      </c>
      <c r="I18" s="143"/>
      <c r="J18" s="143"/>
      <c r="K18" s="143"/>
      <c r="L18" s="143"/>
      <c r="M18" s="143"/>
      <c r="N18" s="143"/>
      <c r="O18" s="144" t="s">
        <v>34</v>
      </c>
    </row>
    <row r="19" spans="2:16" ht="15" x14ac:dyDescent="0.25">
      <c r="B19" s="80" t="str">
        <f>+' VNR'!B19</f>
        <v>CXL 115 KV Circuito Sencillo</v>
      </c>
      <c r="C19" s="79" t="s">
        <v>9</v>
      </c>
      <c r="D19" s="81">
        <v>6.18</v>
      </c>
      <c r="E19" s="81">
        <v>1.7</v>
      </c>
      <c r="F19" s="81">
        <v>0.5</v>
      </c>
      <c r="G19" s="81">
        <v>27.75</v>
      </c>
      <c r="H19" s="81"/>
      <c r="I19" s="81"/>
      <c r="J19" s="81"/>
      <c r="K19" s="81"/>
      <c r="L19" s="81"/>
      <c r="M19" s="81"/>
      <c r="N19" s="81"/>
      <c r="O19" s="82">
        <f>SUM(D19:N19)</f>
        <v>36.129999999999995</v>
      </c>
      <c r="P19" s="75" t="s">
        <v>10</v>
      </c>
    </row>
    <row r="20" spans="2:16" ht="15.75" thickBot="1" x14ac:dyDescent="0.3">
      <c r="B20" s="1671" t="s">
        <v>1054</v>
      </c>
      <c r="C20" s="83" t="s">
        <v>9</v>
      </c>
      <c r="D20" s="83"/>
      <c r="E20" s="83"/>
      <c r="F20" s="83"/>
      <c r="G20" s="83"/>
      <c r="H20" s="1649">
        <f>+'VNR APROBADO'!P83+'VNR APROBADO'!P84+'VNR APROBADO'!P85</f>
        <v>33.969999999999992</v>
      </c>
      <c r="I20" s="83"/>
      <c r="J20" s="83"/>
      <c r="K20" s="83"/>
      <c r="L20" s="83"/>
      <c r="M20" s="83"/>
      <c r="N20" s="83"/>
      <c r="O20" s="1462">
        <f>SUM(D20:N20)</f>
        <v>33.969999999999992</v>
      </c>
    </row>
    <row r="21" spans="2:16" ht="15" x14ac:dyDescent="0.25">
      <c r="B21" s="1600"/>
      <c r="C21" s="1600"/>
      <c r="D21" s="1600"/>
      <c r="E21" s="1600"/>
      <c r="F21" s="1600"/>
      <c r="G21" s="1600"/>
      <c r="H21" s="1600"/>
      <c r="I21" s="1600"/>
      <c r="J21" s="1600"/>
      <c r="K21" s="1600"/>
      <c r="L21" s="1600"/>
      <c r="M21" s="1600"/>
      <c r="N21" s="1600"/>
      <c r="O21" s="1600"/>
    </row>
    <row r="22" spans="2:16" ht="15" x14ac:dyDescent="0.2">
      <c r="B22" s="1787"/>
      <c r="C22" s="84"/>
      <c r="D22" s="84"/>
      <c r="E22" s="84"/>
      <c r="F22" s="84"/>
      <c r="G22" s="84"/>
      <c r="H22" s="84"/>
      <c r="I22" s="1787"/>
      <c r="J22" s="84"/>
      <c r="K22" s="84"/>
      <c r="L22" s="84"/>
      <c r="M22" s="84"/>
      <c r="N22" s="84"/>
      <c r="O22" s="84"/>
    </row>
    <row r="23" spans="2:16" ht="15" x14ac:dyDescent="0.25">
      <c r="B23" s="1787"/>
      <c r="I23" s="1788"/>
      <c r="J23" s="85"/>
      <c r="K23" s="85"/>
      <c r="L23" s="85"/>
      <c r="M23" s="85"/>
      <c r="N23" s="85"/>
      <c r="O23" s="86"/>
    </row>
    <row r="24" spans="2:16" x14ac:dyDescent="0.2">
      <c r="B24" s="87"/>
      <c r="C24" s="88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</row>
    <row r="25" spans="2:16" x14ac:dyDescent="0.2">
      <c r="B25" s="87"/>
      <c r="C25" s="88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</row>
    <row r="26" spans="2:16" x14ac:dyDescent="0.2">
      <c r="B26" s="87"/>
      <c r="C26" s="88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</row>
    <row r="27" spans="2:16" x14ac:dyDescent="0.2">
      <c r="B27" s="87"/>
      <c r="C27" s="88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</row>
    <row r="28" spans="2:16" x14ac:dyDescent="0.2">
      <c r="B28" s="87"/>
      <c r="C28" s="88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</row>
    <row r="29" spans="2:16" ht="15" x14ac:dyDescent="0.25">
      <c r="B29" s="86"/>
      <c r="C29" s="88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</row>
    <row r="30" spans="2:16" x14ac:dyDescent="0.2">
      <c r="D30" s="89"/>
    </row>
    <row r="31" spans="2:16" x14ac:dyDescent="0.2">
      <c r="D31" s="89"/>
    </row>
    <row r="33" spans="7:15" x14ac:dyDescent="0.2">
      <c r="G33" s="90"/>
      <c r="O33" s="87"/>
    </row>
    <row r="34" spans="7:15" x14ac:dyDescent="0.2">
      <c r="O34" s="89"/>
    </row>
  </sheetData>
  <mergeCells count="19">
    <mergeCell ref="B1:O1"/>
    <mergeCell ref="B2:O2"/>
    <mergeCell ref="H4:H5"/>
    <mergeCell ref="O4:O5"/>
    <mergeCell ref="B3:O3"/>
    <mergeCell ref="N4:N5"/>
    <mergeCell ref="I4:I5"/>
    <mergeCell ref="J4:J5"/>
    <mergeCell ref="K4:K5"/>
    <mergeCell ref="L4:L5"/>
    <mergeCell ref="M4:M5"/>
    <mergeCell ref="B22:B23"/>
    <mergeCell ref="I22:I23"/>
    <mergeCell ref="D4:D5"/>
    <mergeCell ref="E4:E5"/>
    <mergeCell ref="F4:F5"/>
    <mergeCell ref="G4:G5"/>
    <mergeCell ref="B4:B5"/>
    <mergeCell ref="C4:C5"/>
  </mergeCells>
  <phoneticPr fontId="0" type="noConversion"/>
  <printOptions horizontalCentered="1" verticalCentered="1"/>
  <pageMargins left="0.51181102362204722" right="0.45" top="1" bottom="1" header="0" footer="0"/>
  <pageSetup scale="78" orientation="landscape" r:id="rId1"/>
  <headerFooter alignWithMargins="0">
    <oddHeader>&amp;F</oddHeader>
    <oddFooter>&amp;LHOJA:  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5" tint="0.39997558519241921"/>
    <pageSetUpPr fitToPage="1"/>
  </sheetPr>
  <dimension ref="A1:V196"/>
  <sheetViews>
    <sheetView showGridLines="0" zoomScaleNormal="100" workbookViewId="0">
      <pane ySplit="4" topLeftCell="A54" activePane="bottomLeft" state="frozen"/>
      <selection activeCell="M42" sqref="M42"/>
      <selection pane="bottomLeft" activeCell="D25" sqref="D25"/>
    </sheetView>
  </sheetViews>
  <sheetFormatPr baseColWidth="10" defaultColWidth="9.28515625" defaultRowHeight="12.75" x14ac:dyDescent="0.2"/>
  <cols>
    <col min="1" max="1" width="3.7109375" style="301" customWidth="1"/>
    <col min="2" max="2" width="58.7109375" style="301" customWidth="1"/>
    <col min="3" max="3" width="11.7109375" style="301" customWidth="1"/>
    <col min="4" max="9" width="15.5703125" style="301" customWidth="1"/>
    <col min="10" max="10" width="16" style="301" customWidth="1"/>
    <col min="11" max="11" width="11.7109375" style="301" customWidth="1"/>
    <col min="12" max="12" width="10.7109375" style="301" customWidth="1"/>
    <col min="13" max="13" width="10.42578125" style="301" customWidth="1"/>
    <col min="14" max="14" width="10.5703125" style="301" customWidth="1"/>
    <col min="15" max="16" width="9.28515625" style="301"/>
    <col min="17" max="17" width="15" style="301" customWidth="1"/>
    <col min="18" max="19" width="9.28515625" style="301"/>
    <col min="20" max="20" width="9.42578125" style="301" customWidth="1"/>
    <col min="21" max="21" width="9.5703125" style="301" customWidth="1"/>
    <col min="22" max="16384" width="9.28515625" style="301"/>
  </cols>
  <sheetData>
    <row r="1" spans="2:13" s="745" customFormat="1" ht="15" x14ac:dyDescent="0.25">
      <c r="B1" s="748"/>
      <c r="C1" s="748"/>
      <c r="D1" s="748"/>
      <c r="E1" s="748"/>
      <c r="F1" s="748"/>
      <c r="G1" s="748"/>
      <c r="H1" s="748"/>
      <c r="I1" s="748"/>
    </row>
    <row r="2" spans="2:13" s="745" customFormat="1" x14ac:dyDescent="0.2">
      <c r="B2" s="1802" t="s">
        <v>309</v>
      </c>
      <c r="C2" s="1802"/>
      <c r="D2" s="1802"/>
      <c r="E2" s="1802"/>
      <c r="F2" s="1802"/>
      <c r="G2" s="1802"/>
      <c r="H2" s="1802"/>
      <c r="I2" s="1802"/>
    </row>
    <row r="3" spans="2:13" s="745" customFormat="1" x14ac:dyDescent="0.2">
      <c r="B3" s="1802" t="s">
        <v>614</v>
      </c>
      <c r="C3" s="1802"/>
      <c r="D3" s="1802"/>
      <c r="E3" s="1802"/>
      <c r="F3" s="1802"/>
      <c r="G3" s="1802"/>
      <c r="H3" s="1802"/>
      <c r="I3" s="1802"/>
    </row>
    <row r="4" spans="2:13" s="745" customFormat="1" x14ac:dyDescent="0.2">
      <c r="B4" s="1802" t="s">
        <v>752</v>
      </c>
      <c r="C4" s="1802"/>
      <c r="D4" s="1802"/>
      <c r="E4" s="1802"/>
      <c r="F4" s="1802"/>
      <c r="G4" s="1802"/>
      <c r="H4" s="1802"/>
      <c r="I4" s="1802"/>
    </row>
    <row r="5" spans="2:13" s="747" customFormat="1" ht="13.5" thickBot="1" x14ac:dyDescent="0.25">
      <c r="B5" s="746" t="s">
        <v>311</v>
      </c>
    </row>
    <row r="6" spans="2:13" x14ac:dyDescent="0.2">
      <c r="B6" s="284"/>
      <c r="C6" s="282" t="s">
        <v>16</v>
      </c>
      <c r="D6" s="282">
        <v>2024</v>
      </c>
      <c r="E6" s="282">
        <v>2025</v>
      </c>
      <c r="F6" s="282">
        <v>2026</v>
      </c>
      <c r="G6" s="282">
        <v>2027</v>
      </c>
      <c r="H6" s="282">
        <v>2028</v>
      </c>
      <c r="I6" s="281">
        <v>2029</v>
      </c>
    </row>
    <row r="7" spans="2:13" x14ac:dyDescent="0.2">
      <c r="B7" s="302" t="s">
        <v>17</v>
      </c>
      <c r="C7" s="278" t="s">
        <v>18</v>
      </c>
      <c r="D7" s="303"/>
      <c r="E7" s="875">
        <v>1.7463481823484322E-2</v>
      </c>
      <c r="F7" s="303">
        <v>1.7463481823484322E-2</v>
      </c>
      <c r="G7" s="303">
        <v>1.7463481823484322E-2</v>
      </c>
      <c r="H7" s="303">
        <v>1.7463481823484322E-2</v>
      </c>
      <c r="I7" s="305">
        <v>1.7463481823484322E-2</v>
      </c>
      <c r="J7" s="306"/>
      <c r="K7" s="306"/>
      <c r="M7" s="307"/>
    </row>
    <row r="8" spans="2:13" ht="13.5" thickBot="1" x14ac:dyDescent="0.25">
      <c r="B8" s="308" t="s">
        <v>19</v>
      </c>
      <c r="C8" s="275" t="s">
        <v>18</v>
      </c>
      <c r="D8" s="309"/>
      <c r="E8" s="309">
        <v>8.2319969859183714E-3</v>
      </c>
      <c r="F8" s="309">
        <v>8.2319969859183714E-3</v>
      </c>
      <c r="G8" s="309">
        <v>8.2319969859183714E-3</v>
      </c>
      <c r="H8" s="309">
        <v>8.2319969859183714E-3</v>
      </c>
      <c r="I8" s="311">
        <v>8.2319969859183714E-3</v>
      </c>
      <c r="J8" s="306"/>
      <c r="K8" s="306"/>
    </row>
    <row r="9" spans="2:13" ht="13.5" thickBot="1" x14ac:dyDescent="0.25">
      <c r="E9" s="312"/>
      <c r="F9" s="312"/>
      <c r="G9" s="312"/>
      <c r="H9" s="312"/>
      <c r="I9" s="312"/>
      <c r="J9" s="306"/>
      <c r="K9" s="306"/>
    </row>
    <row r="10" spans="2:13" x14ac:dyDescent="0.2">
      <c r="B10" s="313" t="s">
        <v>312</v>
      </c>
      <c r="C10" s="314" t="s">
        <v>18</v>
      </c>
      <c r="D10" s="315">
        <v>3.2314329354868353E-2</v>
      </c>
      <c r="E10" s="312"/>
      <c r="G10" s="1803" t="s">
        <v>733</v>
      </c>
      <c r="H10" s="1804"/>
      <c r="I10" s="1611">
        <v>0.45</v>
      </c>
      <c r="J10" s="316"/>
      <c r="K10" s="316"/>
    </row>
    <row r="11" spans="2:13" ht="13.5" thickBot="1" x14ac:dyDescent="0.25">
      <c r="B11" s="317" t="s">
        <v>20</v>
      </c>
      <c r="C11" s="318" t="s">
        <v>18</v>
      </c>
      <c r="D11" s="319">
        <v>9.6000000000000002E-2</v>
      </c>
      <c r="E11" s="312"/>
      <c r="G11" s="1803" t="s">
        <v>734</v>
      </c>
      <c r="H11" s="1804"/>
      <c r="I11" s="1611">
        <v>0.55000000000000004</v>
      </c>
      <c r="J11" s="316"/>
      <c r="K11" s="316"/>
    </row>
    <row r="12" spans="2:13" x14ac:dyDescent="0.2">
      <c r="B12" s="320"/>
      <c r="J12" s="321"/>
      <c r="K12" s="321"/>
    </row>
    <row r="13" spans="2:13" s="747" customFormat="1" x14ac:dyDescent="0.2">
      <c r="B13" s="746" t="s">
        <v>313</v>
      </c>
    </row>
    <row r="14" spans="2:13" ht="13.5" customHeight="1" thickBot="1" x14ac:dyDescent="0.25">
      <c r="B14" s="301" t="s">
        <v>314</v>
      </c>
      <c r="H14" s="301" t="s">
        <v>735</v>
      </c>
      <c r="I14" s="1612">
        <v>0.99548609206107164</v>
      </c>
    </row>
    <row r="15" spans="2:13" ht="13.5" customHeight="1" x14ac:dyDescent="0.2">
      <c r="B15" s="284" t="s">
        <v>303</v>
      </c>
      <c r="C15" s="282" t="s">
        <v>16</v>
      </c>
      <c r="D15" s="282">
        <v>2024</v>
      </c>
      <c r="E15" s="282">
        <v>2025</v>
      </c>
      <c r="F15" s="282">
        <v>2026</v>
      </c>
      <c r="G15" s="282">
        <v>2027</v>
      </c>
      <c r="H15" s="282">
        <v>2028</v>
      </c>
      <c r="I15" s="281">
        <v>2029</v>
      </c>
      <c r="J15" s="1084"/>
    </row>
    <row r="16" spans="2:13" x14ac:dyDescent="0.2">
      <c r="B16" s="286" t="s">
        <v>736</v>
      </c>
      <c r="C16" s="278" t="s">
        <v>298</v>
      </c>
      <c r="D16" s="322">
        <v>1064357.1930205363</v>
      </c>
      <c r="E16" s="322">
        <v>1064357.1930205363</v>
      </c>
      <c r="F16" s="322">
        <v>1064357.1930205363</v>
      </c>
      <c r="G16" s="322">
        <v>1064357.1930205363</v>
      </c>
      <c r="H16" s="322">
        <v>1064357.1930205363</v>
      </c>
      <c r="I16" s="323">
        <v>1064357.1930205363</v>
      </c>
      <c r="J16" s="1084"/>
    </row>
    <row r="17" spans="2:11" x14ac:dyDescent="0.2">
      <c r="B17" s="286" t="s">
        <v>302</v>
      </c>
      <c r="C17" s="278" t="s">
        <v>298</v>
      </c>
      <c r="D17" s="322">
        <v>106087.31255358222</v>
      </c>
      <c r="E17" s="322">
        <v>118717.93898808559</v>
      </c>
      <c r="F17" s="322">
        <v>118717.93898808559</v>
      </c>
      <c r="G17" s="322">
        <v>123823.84290148797</v>
      </c>
      <c r="H17" s="322">
        <v>123823.84290148797</v>
      </c>
      <c r="I17" s="323">
        <v>123823.84290148797</v>
      </c>
      <c r="J17" s="1084"/>
    </row>
    <row r="18" spans="2:11" x14ac:dyDescent="0.2">
      <c r="B18" s="286" t="s">
        <v>737</v>
      </c>
      <c r="C18" s="278" t="s">
        <v>298</v>
      </c>
      <c r="D18" s="322">
        <v>692500.82471408136</v>
      </c>
      <c r="E18" s="322">
        <v>656336.19304849114</v>
      </c>
      <c r="F18" s="322">
        <v>620171.56138290104</v>
      </c>
      <c r="G18" s="322">
        <v>584006.92971731059</v>
      </c>
      <c r="H18" s="322">
        <v>551078.29091562773</v>
      </c>
      <c r="I18" s="323">
        <v>518435.76092812227</v>
      </c>
      <c r="J18" s="1084"/>
    </row>
    <row r="19" spans="2:11" ht="13.5" thickBot="1" x14ac:dyDescent="0.25">
      <c r="B19" s="328" t="s">
        <v>320</v>
      </c>
      <c r="C19" s="329" t="s">
        <v>298</v>
      </c>
      <c r="D19" s="343">
        <v>85638.465239799247</v>
      </c>
      <c r="E19" s="343">
        <v>95963.652920841458</v>
      </c>
      <c r="F19" s="343">
        <v>93422.269792145336</v>
      </c>
      <c r="G19" s="343">
        <v>95986.790576851607</v>
      </c>
      <c r="H19" s="343">
        <v>93280.413587443501</v>
      </c>
      <c r="I19" s="1178">
        <v>90574.036598035367</v>
      </c>
      <c r="J19" s="1085"/>
    </row>
    <row r="20" spans="2:11" x14ac:dyDescent="0.2">
      <c r="C20" s="348"/>
      <c r="D20" s="333"/>
      <c r="E20" s="333"/>
      <c r="F20" s="333"/>
      <c r="G20" s="333"/>
      <c r="H20" s="333"/>
      <c r="I20" s="333"/>
    </row>
    <row r="21" spans="2:11" s="747" customFormat="1" x14ac:dyDescent="0.2">
      <c r="B21" s="746" t="s">
        <v>339</v>
      </c>
    </row>
    <row r="22" spans="2:11" ht="13.5" thickBot="1" x14ac:dyDescent="0.25">
      <c r="B22" s="301" t="s">
        <v>314</v>
      </c>
      <c r="J22" s="353"/>
      <c r="K22" s="353"/>
    </row>
    <row r="23" spans="2:11" x14ac:dyDescent="0.2">
      <c r="B23" s="334" t="s">
        <v>340</v>
      </c>
      <c r="C23" s="282" t="s">
        <v>16</v>
      </c>
      <c r="D23" s="282">
        <v>2024</v>
      </c>
      <c r="E23" s="282">
        <v>2025</v>
      </c>
      <c r="F23" s="282">
        <v>2026</v>
      </c>
      <c r="G23" s="282">
        <v>2027</v>
      </c>
      <c r="H23" s="282">
        <v>2028</v>
      </c>
      <c r="I23" s="281">
        <v>2029</v>
      </c>
      <c r="J23" s="353"/>
      <c r="K23" s="353"/>
    </row>
    <row r="24" spans="2:11" x14ac:dyDescent="0.2">
      <c r="B24" s="286" t="s">
        <v>738</v>
      </c>
      <c r="C24" s="278" t="s">
        <v>298</v>
      </c>
      <c r="D24" s="322">
        <v>1604397.8320035401</v>
      </c>
      <c r="E24" s="322">
        <v>1604397.8320035401</v>
      </c>
      <c r="F24" s="354">
        <v>1604397.8320035401</v>
      </c>
      <c r="G24" s="322">
        <v>1604397.8320035401</v>
      </c>
      <c r="H24" s="322">
        <v>1604397.8320035401</v>
      </c>
      <c r="I24" s="355">
        <v>1604397.8320035401</v>
      </c>
      <c r="J24" s="356"/>
      <c r="K24" s="356"/>
    </row>
    <row r="25" spans="2:11" ht="13.5" thickBot="1" x14ac:dyDescent="0.25">
      <c r="B25" s="342" t="s">
        <v>343</v>
      </c>
      <c r="C25" s="275" t="s">
        <v>298</v>
      </c>
      <c r="D25" s="357">
        <v>113196.85075048261</v>
      </c>
      <c r="E25" s="357">
        <v>125884.74919048262</v>
      </c>
      <c r="F25" s="358">
        <v>125884.74919048262</v>
      </c>
      <c r="G25" s="357">
        <v>131013.80519048261</v>
      </c>
      <c r="H25" s="357">
        <v>131013.80519048261</v>
      </c>
      <c r="I25" s="359">
        <v>131013.80519048261</v>
      </c>
      <c r="J25" s="356"/>
      <c r="K25" s="356"/>
    </row>
    <row r="26" spans="2:11" x14ac:dyDescent="0.2">
      <c r="B26" s="320"/>
      <c r="C26" s="348"/>
      <c r="D26" s="354"/>
      <c r="E26" s="354"/>
      <c r="F26" s="354"/>
      <c r="G26" s="354"/>
      <c r="H26" s="354"/>
      <c r="I26" s="354"/>
      <c r="J26" s="356"/>
      <c r="K26" s="356"/>
    </row>
    <row r="27" spans="2:11" s="747" customFormat="1" x14ac:dyDescent="0.2">
      <c r="B27" s="746" t="s">
        <v>353</v>
      </c>
    </row>
    <row r="28" spans="2:11" x14ac:dyDescent="0.2">
      <c r="B28" s="301" t="s">
        <v>314</v>
      </c>
    </row>
    <row r="29" spans="2:11" ht="13.5" thickBot="1" x14ac:dyDescent="0.25">
      <c r="B29" s="300"/>
    </row>
    <row r="30" spans="2:11" ht="13.5" thickBot="1" x14ac:dyDescent="0.25">
      <c r="B30" s="1086" t="s">
        <v>739</v>
      </c>
      <c r="C30" s="1087"/>
      <c r="D30" s="1087"/>
      <c r="E30" s="1087">
        <v>2025</v>
      </c>
      <c r="F30" s="1087">
        <v>2026</v>
      </c>
      <c r="G30" s="1087">
        <v>2027</v>
      </c>
      <c r="H30" s="1087">
        <v>2028</v>
      </c>
      <c r="I30" s="1087">
        <v>2029</v>
      </c>
      <c r="K30" s="421"/>
    </row>
    <row r="31" spans="2:11" x14ac:dyDescent="0.2">
      <c r="B31" s="1088" t="s">
        <v>300</v>
      </c>
      <c r="C31" s="1089" t="s">
        <v>298</v>
      </c>
      <c r="D31" s="1088"/>
      <c r="E31" s="1090">
        <v>28018.372376831474</v>
      </c>
      <c r="F31" s="1090">
        <v>28018.372376831474</v>
      </c>
      <c r="G31" s="1090">
        <v>28018.372376831474</v>
      </c>
      <c r="H31" s="1090">
        <v>28018.372376831474</v>
      </c>
      <c r="I31" s="1090">
        <v>28018.372376831474</v>
      </c>
      <c r="K31" s="876"/>
    </row>
    <row r="32" spans="2:11" x14ac:dyDescent="0.2">
      <c r="B32" s="1091" t="s">
        <v>299</v>
      </c>
      <c r="C32" s="1092" t="s">
        <v>298</v>
      </c>
      <c r="D32" s="1091"/>
      <c r="E32" s="1093">
        <v>13207.398117267112</v>
      </c>
      <c r="F32" s="1093">
        <v>13207.398117267112</v>
      </c>
      <c r="G32" s="1093">
        <v>13207.398117267112</v>
      </c>
      <c r="H32" s="1093">
        <v>13207.398117267112</v>
      </c>
      <c r="I32" s="1093">
        <v>13207.398117267112</v>
      </c>
      <c r="K32" s="876"/>
    </row>
    <row r="33" spans="1:12" x14ac:dyDescent="0.2">
      <c r="B33" s="1091" t="s">
        <v>355</v>
      </c>
      <c r="C33" s="1092" t="s">
        <v>298</v>
      </c>
      <c r="D33" s="1091"/>
      <c r="E33" s="1093">
        <v>36164.631665590256</v>
      </c>
      <c r="F33" s="1093">
        <v>36164.631665590256</v>
      </c>
      <c r="G33" s="1093">
        <v>36164.631665590256</v>
      </c>
      <c r="H33" s="1093">
        <v>32928.638801682784</v>
      </c>
      <c r="I33" s="1093">
        <v>32642.529987505564</v>
      </c>
      <c r="K33" s="876"/>
    </row>
    <row r="34" spans="1:12" x14ac:dyDescent="0.2">
      <c r="B34" s="1091" t="s">
        <v>356</v>
      </c>
      <c r="C34" s="1092" t="s">
        <v>298</v>
      </c>
      <c r="D34" s="1091"/>
      <c r="E34" s="1093">
        <v>66480.079172551807</v>
      </c>
      <c r="F34" s="1093">
        <v>63008.274532655152</v>
      </c>
      <c r="G34" s="1093">
        <v>59536.469892758498</v>
      </c>
      <c r="H34" s="1093">
        <v>56064.665252861814</v>
      </c>
      <c r="I34" s="1093">
        <v>52903.515927900262</v>
      </c>
      <c r="K34" s="876"/>
    </row>
    <row r="35" spans="1:12" ht="13.5" thickBot="1" x14ac:dyDescent="0.25">
      <c r="B35" s="1094" t="s">
        <v>358</v>
      </c>
      <c r="C35" s="1095" t="s">
        <v>298</v>
      </c>
      <c r="D35" s="1094"/>
      <c r="E35" s="1093">
        <v>15</v>
      </c>
      <c r="F35" s="1093">
        <v>75</v>
      </c>
      <c r="G35" s="1093">
        <v>75</v>
      </c>
      <c r="H35" s="1093">
        <v>75</v>
      </c>
      <c r="I35" s="1093">
        <v>15</v>
      </c>
      <c r="J35" s="350"/>
      <c r="K35" s="876"/>
    </row>
    <row r="36" spans="1:12" ht="13.5" thickBot="1" x14ac:dyDescent="0.25">
      <c r="B36" s="1096" t="s">
        <v>360</v>
      </c>
      <c r="C36" s="1097"/>
      <c r="D36" s="1097"/>
      <c r="E36" s="1098">
        <v>143885.48133224066</v>
      </c>
      <c r="F36" s="1098">
        <v>140473.67669234402</v>
      </c>
      <c r="G36" s="1098">
        <v>137001.87205244735</v>
      </c>
      <c r="H36" s="1098">
        <v>130294.07454864318</v>
      </c>
      <c r="I36" s="1098">
        <v>126786.81640950442</v>
      </c>
      <c r="L36" s="350"/>
    </row>
    <row r="37" spans="1:12" ht="13.5" thickBot="1" x14ac:dyDescent="0.25">
      <c r="A37" s="366"/>
      <c r="B37" s="367"/>
      <c r="C37" s="366"/>
      <c r="D37" s="366"/>
      <c r="E37" s="368"/>
      <c r="F37" s="368"/>
      <c r="G37" s="368"/>
      <c r="H37" s="368"/>
      <c r="I37" s="368"/>
    </row>
    <row r="38" spans="1:12" ht="13.5" thickBot="1" x14ac:dyDescent="0.25">
      <c r="B38" s="1086" t="s">
        <v>740</v>
      </c>
      <c r="C38" s="1087"/>
      <c r="D38" s="1087"/>
      <c r="E38" s="1087">
        <v>2025</v>
      </c>
      <c r="F38" s="1087">
        <v>2026</v>
      </c>
      <c r="G38" s="1087">
        <v>2027</v>
      </c>
      <c r="H38" s="1087">
        <v>2028</v>
      </c>
      <c r="I38" s="1087">
        <v>2029</v>
      </c>
    </row>
    <row r="39" spans="1:12" x14ac:dyDescent="0.2">
      <c r="B39" s="1088" t="s">
        <v>300</v>
      </c>
      <c r="C39" s="1089" t="s">
        <v>298</v>
      </c>
      <c r="D39" s="1088"/>
      <c r="E39" s="1090">
        <v>12608.267569574164</v>
      </c>
      <c r="F39" s="1090">
        <v>12608.267569574164</v>
      </c>
      <c r="G39" s="1090">
        <v>12608.267569574164</v>
      </c>
      <c r="H39" s="1090">
        <v>12608.267569574164</v>
      </c>
      <c r="I39" s="1090">
        <v>12608.267569574164</v>
      </c>
    </row>
    <row r="40" spans="1:12" x14ac:dyDescent="0.2">
      <c r="B40" s="1091" t="s">
        <v>299</v>
      </c>
      <c r="C40" s="1092" t="s">
        <v>298</v>
      </c>
      <c r="D40" s="1091"/>
      <c r="E40" s="1093">
        <v>5943.3291527702004</v>
      </c>
      <c r="F40" s="1093">
        <v>5943.3291527702004</v>
      </c>
      <c r="G40" s="1093">
        <v>5943.3291527702004</v>
      </c>
      <c r="H40" s="1093">
        <v>5943.3291527702004</v>
      </c>
      <c r="I40" s="1093">
        <v>5943.3291527702004</v>
      </c>
    </row>
    <row r="41" spans="1:12" x14ac:dyDescent="0.2">
      <c r="B41" s="1091" t="s">
        <v>355</v>
      </c>
      <c r="C41" s="1092" t="s">
        <v>298</v>
      </c>
      <c r="D41" s="1091"/>
      <c r="E41" s="1093">
        <v>16274.084249515616</v>
      </c>
      <c r="F41" s="1093">
        <v>16274.084249515616</v>
      </c>
      <c r="G41" s="1093">
        <v>16274.084249515616</v>
      </c>
      <c r="H41" s="1093">
        <v>14817.887460757252</v>
      </c>
      <c r="I41" s="1093">
        <v>14689.138494377505</v>
      </c>
    </row>
    <row r="42" spans="1:12" x14ac:dyDescent="0.2">
      <c r="B42" s="1091" t="s">
        <v>356</v>
      </c>
      <c r="C42" s="1092" t="s">
        <v>298</v>
      </c>
      <c r="D42" s="1091"/>
      <c r="E42" s="1093">
        <v>29916.035627648314</v>
      </c>
      <c r="F42" s="1093">
        <v>28353.72353969482</v>
      </c>
      <c r="G42" s="1093">
        <v>26791.411451741325</v>
      </c>
      <c r="H42" s="1093">
        <v>25229.099363787816</v>
      </c>
      <c r="I42" s="1093">
        <v>23806.58216755512</v>
      </c>
    </row>
    <row r="43" spans="1:12" ht="13.5" thickBot="1" x14ac:dyDescent="0.25">
      <c r="B43" s="1091" t="s">
        <v>358</v>
      </c>
      <c r="C43" s="1092" t="s">
        <v>298</v>
      </c>
      <c r="D43" s="1091"/>
      <c r="E43" s="1099">
        <v>6.75</v>
      </c>
      <c r="F43" s="1099">
        <v>33.75</v>
      </c>
      <c r="G43" s="1099">
        <v>33.75</v>
      </c>
      <c r="H43" s="1099">
        <v>33.75</v>
      </c>
      <c r="I43" s="1099">
        <v>6.75</v>
      </c>
      <c r="J43" s="1055"/>
      <c r="K43" s="350"/>
      <c r="L43" s="350"/>
    </row>
    <row r="44" spans="1:12" ht="13.5" thickBot="1" x14ac:dyDescent="0.25">
      <c r="B44" s="1096" t="s">
        <v>360</v>
      </c>
      <c r="C44" s="1096"/>
      <c r="D44" s="1096"/>
      <c r="E44" s="1098">
        <v>64748.466599508298</v>
      </c>
      <c r="F44" s="1098">
        <v>63213.154511554807</v>
      </c>
      <c r="G44" s="1098">
        <v>61650.842423601309</v>
      </c>
      <c r="H44" s="1098">
        <v>58632.333546889437</v>
      </c>
      <c r="I44" s="1098">
        <v>57054.06738427699</v>
      </c>
      <c r="L44" s="350"/>
    </row>
    <row r="45" spans="1:12" ht="13.5" thickBot="1" x14ac:dyDescent="0.25">
      <c r="A45" s="366"/>
      <c r="B45" s="367"/>
      <c r="C45" s="366"/>
      <c r="D45" s="366"/>
      <c r="E45" s="368"/>
      <c r="F45" s="368"/>
      <c r="G45" s="368"/>
      <c r="H45" s="368"/>
      <c r="I45" s="368"/>
    </row>
    <row r="46" spans="1:12" ht="13.5" thickBot="1" x14ac:dyDescent="0.25">
      <c r="A46" s="366"/>
      <c r="B46" s="1179" t="s">
        <v>741</v>
      </c>
      <c r="C46" s="1180"/>
      <c r="D46" s="1180"/>
      <c r="E46" s="1180">
        <v>2025</v>
      </c>
      <c r="F46" s="1180">
        <v>2026</v>
      </c>
      <c r="G46" s="1180">
        <v>2027</v>
      </c>
      <c r="H46" s="1180">
        <v>2028</v>
      </c>
      <c r="I46" s="1180">
        <v>2029</v>
      </c>
    </row>
    <row r="47" spans="1:12" x14ac:dyDescent="0.2">
      <c r="A47" s="366"/>
      <c r="B47" s="1088" t="s">
        <v>300</v>
      </c>
      <c r="C47" s="1089" t="s">
        <v>298</v>
      </c>
      <c r="D47" s="1088"/>
      <c r="E47" s="1181">
        <v>15410.104807257312</v>
      </c>
      <c r="F47" s="1090">
        <v>15410.104807257312</v>
      </c>
      <c r="G47" s="1090">
        <v>15410.104807257312</v>
      </c>
      <c r="H47" s="1090">
        <v>15410.104807257312</v>
      </c>
      <c r="I47" s="1090">
        <v>15410.104807257312</v>
      </c>
    </row>
    <row r="48" spans="1:12" x14ac:dyDescent="0.2">
      <c r="A48" s="366"/>
      <c r="B48" s="1091" t="s">
        <v>299</v>
      </c>
      <c r="C48" s="1092" t="s">
        <v>298</v>
      </c>
      <c r="D48" s="1091"/>
      <c r="E48" s="1093">
        <v>7264.0689644969125</v>
      </c>
      <c r="F48" s="1093">
        <v>7264.0689644969125</v>
      </c>
      <c r="G48" s="1093">
        <v>7264.0689644969125</v>
      </c>
      <c r="H48" s="1093">
        <v>7264.0689644969125</v>
      </c>
      <c r="I48" s="1093">
        <v>7264.0689644969125</v>
      </c>
    </row>
    <row r="49" spans="1:15" x14ac:dyDescent="0.2">
      <c r="A49" s="366"/>
      <c r="B49" s="1091" t="s">
        <v>355</v>
      </c>
      <c r="C49" s="1092" t="s">
        <v>298</v>
      </c>
      <c r="D49" s="1091"/>
      <c r="E49" s="1093">
        <v>19890.547416074642</v>
      </c>
      <c r="F49" s="1093">
        <v>19890.547416074642</v>
      </c>
      <c r="G49" s="1093">
        <v>19890.547416074642</v>
      </c>
      <c r="H49" s="1093">
        <v>18110.751340925533</v>
      </c>
      <c r="I49" s="1093">
        <v>17953.391493128063</v>
      </c>
    </row>
    <row r="50" spans="1:15" x14ac:dyDescent="0.2">
      <c r="A50" s="366"/>
      <c r="B50" s="1091" t="s">
        <v>356</v>
      </c>
      <c r="C50" s="1092" t="s">
        <v>298</v>
      </c>
      <c r="D50" s="1091"/>
      <c r="E50" s="1093">
        <v>36564.043544903499</v>
      </c>
      <c r="F50" s="1093">
        <v>34654.550992960336</v>
      </c>
      <c r="G50" s="1093">
        <v>32745.058441017176</v>
      </c>
      <c r="H50" s="1093">
        <v>30835.565889074001</v>
      </c>
      <c r="I50" s="1093">
        <v>29096.933760345146</v>
      </c>
    </row>
    <row r="51" spans="1:15" x14ac:dyDescent="0.2">
      <c r="A51" s="366"/>
      <c r="B51" s="1094" t="s">
        <v>358</v>
      </c>
      <c r="C51" s="1095" t="s">
        <v>298</v>
      </c>
      <c r="D51" s="1094"/>
      <c r="E51" s="1093">
        <v>8.25</v>
      </c>
      <c r="F51" s="1093">
        <v>41.25</v>
      </c>
      <c r="G51" s="1093">
        <v>41.25</v>
      </c>
      <c r="H51" s="1093">
        <v>41.25</v>
      </c>
      <c r="I51" s="1093">
        <v>8.25</v>
      </c>
    </row>
    <row r="52" spans="1:15" ht="13.5" thickBot="1" x14ac:dyDescent="0.25">
      <c r="A52" s="366"/>
      <c r="B52" s="1182" t="s">
        <v>362</v>
      </c>
      <c r="C52" s="1183" t="s">
        <v>298</v>
      </c>
      <c r="D52" s="1182"/>
      <c r="E52" s="1103">
        <v>-6188.872545107246</v>
      </c>
      <c r="F52" s="1103">
        <v>-6188.872545107246</v>
      </c>
      <c r="G52" s="1103">
        <v>-6188.872545107246</v>
      </c>
      <c r="H52" s="1103">
        <v>-6188.872545107246</v>
      </c>
      <c r="I52" s="1103">
        <v>-6188.872545107246</v>
      </c>
      <c r="J52" s="1614" t="s">
        <v>1051</v>
      </c>
    </row>
    <row r="53" spans="1:15" ht="13.5" thickBot="1" x14ac:dyDescent="0.25">
      <c r="A53" s="366"/>
      <c r="B53" s="1096" t="s">
        <v>360</v>
      </c>
      <c r="C53" s="1097"/>
      <c r="D53" s="1097"/>
      <c r="E53" s="1098">
        <v>72948.142187625112</v>
      </c>
      <c r="F53" s="1098">
        <v>71071.64963568197</v>
      </c>
      <c r="G53" s="1098">
        <v>69162.157083738799</v>
      </c>
      <c r="H53" s="1098">
        <v>65472.868456646516</v>
      </c>
      <c r="I53" s="1098">
        <v>63543.876480120183</v>
      </c>
    </row>
    <row r="54" spans="1:15" ht="13.5" thickBot="1" x14ac:dyDescent="0.25">
      <c r="A54" s="366"/>
      <c r="B54" s="367"/>
      <c r="C54" s="366"/>
      <c r="D54" s="366"/>
      <c r="E54" s="368"/>
      <c r="F54" s="368"/>
      <c r="G54" s="368"/>
      <c r="H54" s="368"/>
      <c r="I54" s="368"/>
    </row>
    <row r="55" spans="1:15" ht="13.5" thickBot="1" x14ac:dyDescent="0.25">
      <c r="B55" s="1086" t="s">
        <v>742</v>
      </c>
      <c r="C55" s="1087"/>
      <c r="D55" s="1087"/>
      <c r="E55" s="1087">
        <v>2025</v>
      </c>
      <c r="F55" s="1087">
        <v>2026</v>
      </c>
      <c r="G55" s="1087">
        <v>2027</v>
      </c>
      <c r="H55" s="1087">
        <v>2028</v>
      </c>
      <c r="I55" s="1087">
        <v>2029</v>
      </c>
    </row>
    <row r="56" spans="1:15" x14ac:dyDescent="0.2">
      <c r="B56" s="1088" t="s">
        <v>300</v>
      </c>
      <c r="C56" s="1089" t="s">
        <v>298</v>
      </c>
      <c r="D56" s="1088"/>
      <c r="E56" s="1090">
        <v>1976.8111455567207</v>
      </c>
      <c r="F56" s="1090">
        <v>2198.3860293418757</v>
      </c>
      <c r="G56" s="1090">
        <v>2198.3860293418757</v>
      </c>
      <c r="H56" s="1090">
        <v>2287.9572055695089</v>
      </c>
      <c r="I56" s="1090">
        <v>2287.9572055695089</v>
      </c>
      <c r="L56" s="350"/>
    </row>
    <row r="57" spans="1:15" x14ac:dyDescent="0.2">
      <c r="B57" s="1091" t="s">
        <v>299</v>
      </c>
      <c r="C57" s="1092" t="s">
        <v>298</v>
      </c>
      <c r="D57" s="1091"/>
      <c r="E57" s="1093">
        <v>931.83613419342464</v>
      </c>
      <c r="F57" s="1093">
        <v>1036.2828759091431</v>
      </c>
      <c r="G57" s="1093">
        <v>1036.2828759091431</v>
      </c>
      <c r="H57" s="1093">
        <v>1078.5052494417496</v>
      </c>
      <c r="I57" s="1093">
        <v>1078.5052494417496</v>
      </c>
    </row>
    <row r="58" spans="1:15" x14ac:dyDescent="0.2">
      <c r="B58" s="1091" t="s">
        <v>355</v>
      </c>
      <c r="C58" s="1092" t="s">
        <v>298</v>
      </c>
      <c r="D58" s="1091"/>
      <c r="E58" s="1093">
        <v>2305.4387534611606</v>
      </c>
      <c r="F58" s="1093">
        <v>2541.3831286961231</v>
      </c>
      <c r="G58" s="1093">
        <v>2541.3831286961231</v>
      </c>
      <c r="H58" s="1093">
        <v>2706.3769894081188</v>
      </c>
      <c r="I58" s="1093">
        <v>2706.3769894081188</v>
      </c>
    </row>
    <row r="59" spans="1:15" x14ac:dyDescent="0.2">
      <c r="B59" s="1091" t="s">
        <v>356</v>
      </c>
      <c r="C59" s="1092" t="s">
        <v>298</v>
      </c>
      <c r="D59" s="1091"/>
      <c r="E59" s="1093">
        <v>8221.2926630207276</v>
      </c>
      <c r="F59" s="1093">
        <v>9212.510680400781</v>
      </c>
      <c r="G59" s="1093">
        <v>8968.5379000459525</v>
      </c>
      <c r="H59" s="1093">
        <v>9214.731895377754</v>
      </c>
      <c r="I59" s="1093">
        <v>8954.9197043945769</v>
      </c>
    </row>
    <row r="60" spans="1:15" ht="13.5" thickBot="1" x14ac:dyDescent="0.25">
      <c r="B60" s="1100" t="s">
        <v>743</v>
      </c>
      <c r="C60" s="1092" t="s">
        <v>298</v>
      </c>
      <c r="D60" s="1100"/>
      <c r="E60" s="1101">
        <v>-2286.9242234198659</v>
      </c>
      <c r="F60" s="1101">
        <v>-2286.9242234198659</v>
      </c>
      <c r="G60" s="1101">
        <v>-2286.9242234198659</v>
      </c>
      <c r="H60" s="1103">
        <v>-2286.9242234198659</v>
      </c>
      <c r="I60" s="1103">
        <v>-2286.9242234198659</v>
      </c>
      <c r="J60" s="301" t="s">
        <v>1052</v>
      </c>
    </row>
    <row r="61" spans="1:15" ht="13.5" thickBot="1" x14ac:dyDescent="0.25">
      <c r="B61" s="1096" t="s">
        <v>360</v>
      </c>
      <c r="C61" s="1096"/>
      <c r="D61" s="1096"/>
      <c r="E61" s="1098">
        <v>11148.454472812167</v>
      </c>
      <c r="F61" s="1098">
        <v>12701.638490928057</v>
      </c>
      <c r="G61" s="1098">
        <v>12457.665710573228</v>
      </c>
      <c r="H61" s="1098">
        <v>13000.647116377264</v>
      </c>
      <c r="I61" s="1098">
        <v>12740.834925394089</v>
      </c>
    </row>
    <row r="62" spans="1:15" ht="13.5" thickBot="1" x14ac:dyDescent="0.25">
      <c r="B62" s="367"/>
      <c r="C62" s="366"/>
      <c r="D62" s="366"/>
      <c r="E62" s="368"/>
      <c r="F62" s="368"/>
      <c r="G62" s="368"/>
      <c r="H62" s="368"/>
      <c r="I62" s="368"/>
    </row>
    <row r="63" spans="1:15" ht="13.5" thickBot="1" x14ac:dyDescent="0.25">
      <c r="B63" s="1086" t="s">
        <v>744</v>
      </c>
      <c r="C63" s="1087"/>
      <c r="D63" s="1087"/>
      <c r="E63" s="1087">
        <v>2025</v>
      </c>
      <c r="F63" s="1087">
        <v>2026</v>
      </c>
      <c r="G63" s="1087">
        <v>2027</v>
      </c>
      <c r="H63" s="1087">
        <v>2028</v>
      </c>
      <c r="I63" s="1087">
        <v>2029</v>
      </c>
    </row>
    <row r="64" spans="1:15" ht="13.5" thickBot="1" x14ac:dyDescent="0.25">
      <c r="B64" s="1088" t="s">
        <v>379</v>
      </c>
      <c r="C64" s="1089" t="s">
        <v>298</v>
      </c>
      <c r="D64" s="1088"/>
      <c r="E64" s="1184">
        <v>4382.2173842019374</v>
      </c>
      <c r="F64" s="1184">
        <v>11604.984503536109</v>
      </c>
      <c r="G64" s="1184">
        <v>12842.060647972949</v>
      </c>
      <c r="H64" s="1184">
        <v>13753.760805191368</v>
      </c>
      <c r="I64" s="1184">
        <v>4732.1102772479862</v>
      </c>
      <c r="J64" s="356"/>
      <c r="O64" s="368"/>
    </row>
    <row r="65" spans="2:22" ht="13.5" thickBot="1" x14ac:dyDescent="0.25">
      <c r="B65" s="1104" t="s">
        <v>360</v>
      </c>
      <c r="C65" s="1096"/>
      <c r="D65" s="1096"/>
      <c r="E65" s="1185">
        <v>4382.2173842019374</v>
      </c>
      <c r="F65" s="1185">
        <v>11604.984503536109</v>
      </c>
      <c r="G65" s="1185">
        <v>12842.060647972949</v>
      </c>
      <c r="H65" s="1185">
        <v>13753.760805191368</v>
      </c>
      <c r="I65" s="1185">
        <v>4732.1102772479862</v>
      </c>
      <c r="Q65" s="300"/>
      <c r="R65" s="300"/>
      <c r="S65" s="300"/>
    </row>
    <row r="66" spans="2:22" ht="13.5" thickBot="1" x14ac:dyDescent="0.25">
      <c r="B66" s="367"/>
      <c r="C66" s="366"/>
      <c r="D66" s="366"/>
      <c r="E66" s="368"/>
      <c r="F66" s="368"/>
      <c r="G66" s="368"/>
      <c r="H66" s="368"/>
      <c r="I66" s="368"/>
      <c r="K66" s="300"/>
      <c r="L66" s="300"/>
      <c r="M66" s="300"/>
      <c r="Q66" s="300"/>
      <c r="R66" s="300"/>
      <c r="S66" s="300"/>
    </row>
    <row r="67" spans="2:22" ht="15.75" thickBot="1" x14ac:dyDescent="0.3">
      <c r="B67" s="1086" t="s">
        <v>381</v>
      </c>
      <c r="C67" s="1105"/>
      <c r="D67" s="1087" t="s">
        <v>382</v>
      </c>
      <c r="E67" s="1087" t="s">
        <v>745</v>
      </c>
      <c r="F67" s="1087" t="s">
        <v>746</v>
      </c>
      <c r="G67" s="1087" t="s">
        <v>747</v>
      </c>
      <c r="H67" s="1087" t="s">
        <v>748</v>
      </c>
      <c r="I67" s="368"/>
      <c r="K67" s="300"/>
      <c r="L67" s="300"/>
      <c r="M67" s="300"/>
      <c r="P67" s="748"/>
      <c r="Q67" s="877"/>
      <c r="R67" s="877"/>
      <c r="S67" s="877"/>
      <c r="T67" s="877"/>
    </row>
    <row r="68" spans="2:22" ht="15" x14ac:dyDescent="0.25">
      <c r="B68" s="1106" t="s">
        <v>749</v>
      </c>
      <c r="C68" s="1107" t="s">
        <v>298</v>
      </c>
      <c r="D68" s="1108">
        <v>196125.70285993628</v>
      </c>
      <c r="E68" s="1108">
        <v>63984.435555531556</v>
      </c>
      <c r="F68" s="1108">
        <v>62431.998467578058</v>
      </c>
      <c r="G68" s="1108">
        <v>60141.587985245373</v>
      </c>
      <c r="H68" s="1108">
        <v>57846.575465583213</v>
      </c>
      <c r="I68" s="368"/>
      <c r="J68" s="748"/>
      <c r="K68" s="877"/>
      <c r="L68" s="877"/>
      <c r="M68" s="877"/>
      <c r="N68" s="877"/>
      <c r="P68" s="748"/>
      <c r="Q68" s="878"/>
      <c r="R68" s="878"/>
      <c r="S68" s="878"/>
      <c r="T68" s="878"/>
    </row>
    <row r="69" spans="2:22" ht="15" x14ac:dyDescent="0.25">
      <c r="B69" s="1109" t="s">
        <v>384</v>
      </c>
      <c r="C69" s="1110" t="s">
        <v>298</v>
      </c>
      <c r="D69" s="1111">
        <v>219919.94034166689</v>
      </c>
      <c r="E69" s="1111">
        <v>72014.020911653541</v>
      </c>
      <c r="F69" s="1111">
        <v>70116.903359710384</v>
      </c>
      <c r="G69" s="1111">
        <v>67317.512770192654</v>
      </c>
      <c r="H69" s="1111">
        <v>64512.49746838335</v>
      </c>
      <c r="I69" s="368"/>
      <c r="J69" s="748"/>
      <c r="K69" s="878"/>
      <c r="L69" s="878"/>
      <c r="M69" s="878"/>
      <c r="N69" s="878"/>
      <c r="P69" s="748"/>
      <c r="Q69" s="878"/>
      <c r="R69" s="878"/>
      <c r="S69" s="878"/>
      <c r="T69" s="878"/>
    </row>
    <row r="70" spans="2:22" ht="15" x14ac:dyDescent="0.25">
      <c r="B70" s="1109" t="s">
        <v>750</v>
      </c>
      <c r="C70" s="1110" t="s">
        <v>298</v>
      </c>
      <c r="D70" s="1111">
        <v>196125.70285993628</v>
      </c>
      <c r="E70" s="1111">
        <v>61337.036662583872</v>
      </c>
      <c r="F70" s="1111">
        <v>61337.036662583872</v>
      </c>
      <c r="G70" s="1111">
        <v>61337.036662583872</v>
      </c>
      <c r="H70" s="1111">
        <v>61337.036662583872</v>
      </c>
      <c r="I70" s="368"/>
      <c r="J70" s="748"/>
      <c r="K70" s="878"/>
      <c r="L70" s="878"/>
      <c r="M70" s="878"/>
      <c r="N70" s="878"/>
      <c r="P70" s="748"/>
      <c r="Q70" s="878"/>
      <c r="R70" s="878"/>
      <c r="S70" s="878"/>
      <c r="T70" s="878"/>
    </row>
    <row r="71" spans="2:22" ht="15" x14ac:dyDescent="0.25">
      <c r="B71" s="1112" t="s">
        <v>386</v>
      </c>
      <c r="C71" s="1113" t="s">
        <v>298</v>
      </c>
      <c r="D71" s="1114">
        <v>219919.94034166684</v>
      </c>
      <c r="E71" s="1114">
        <v>68778.529518914991</v>
      </c>
      <c r="F71" s="1114">
        <v>68778.529518914991</v>
      </c>
      <c r="G71" s="1114">
        <v>68778.529518914991</v>
      </c>
      <c r="H71" s="1114">
        <v>68778.529518914991</v>
      </c>
      <c r="I71" s="368"/>
      <c r="J71" s="748"/>
      <c r="K71" s="878"/>
      <c r="L71" s="878"/>
      <c r="M71" s="878"/>
      <c r="N71" s="878"/>
      <c r="P71" s="761"/>
      <c r="Q71" s="879"/>
      <c r="R71" s="879"/>
      <c r="S71" s="879"/>
      <c r="T71" s="879"/>
    </row>
    <row r="72" spans="2:22" ht="15.75" thickBot="1" x14ac:dyDescent="0.3">
      <c r="B72" s="367"/>
      <c r="C72" s="366"/>
      <c r="D72" s="368"/>
      <c r="E72" s="368"/>
      <c r="F72" s="368"/>
      <c r="G72" s="368"/>
      <c r="H72" s="368"/>
      <c r="I72" s="368"/>
      <c r="J72" s="761"/>
      <c r="K72" s="879"/>
      <c r="L72" s="879"/>
      <c r="M72" s="879"/>
      <c r="N72" s="879"/>
      <c r="P72" s="761"/>
      <c r="Q72" s="879"/>
      <c r="R72" s="879"/>
      <c r="S72" s="879"/>
      <c r="T72" s="879"/>
      <c r="U72" s="878"/>
    </row>
    <row r="73" spans="2:22" ht="15.75" thickBot="1" x14ac:dyDescent="0.3">
      <c r="B73" s="1086" t="s">
        <v>387</v>
      </c>
      <c r="C73" s="1087"/>
      <c r="D73" s="1087"/>
      <c r="E73" s="1087" t="s">
        <v>745</v>
      </c>
      <c r="F73" s="1087" t="s">
        <v>746</v>
      </c>
      <c r="G73" s="1087" t="s">
        <v>747</v>
      </c>
      <c r="H73" s="1087" t="s">
        <v>748</v>
      </c>
      <c r="J73" s="761"/>
      <c r="K73" s="879"/>
      <c r="L73" s="879"/>
      <c r="M73" s="879"/>
      <c r="N73" s="879"/>
      <c r="O73" s="878"/>
      <c r="V73" s="878"/>
    </row>
    <row r="74" spans="2:22" x14ac:dyDescent="0.2">
      <c r="B74" s="1115" t="s">
        <v>751</v>
      </c>
      <c r="C74" s="1107" t="s">
        <v>298</v>
      </c>
      <c r="D74" s="393">
        <v>244404.59747393819</v>
      </c>
      <c r="E74" s="393">
        <v>63984.435555531556</v>
      </c>
      <c r="F74" s="1117">
        <v>62431.998467578058</v>
      </c>
      <c r="G74" s="1117">
        <v>60141.587985245373</v>
      </c>
      <c r="H74" s="1117">
        <v>57846.575465583213</v>
      </c>
      <c r="P74" s="880"/>
      <c r="Q74" s="881"/>
      <c r="R74" s="881"/>
      <c r="S74" s="881"/>
      <c r="T74" s="881"/>
    </row>
    <row r="75" spans="2:22" x14ac:dyDescent="0.2">
      <c r="B75" s="1116" t="s">
        <v>725</v>
      </c>
      <c r="C75" s="1110" t="s">
        <v>298</v>
      </c>
      <c r="D75" s="393">
        <v>273960.93450993992</v>
      </c>
      <c r="E75" s="393">
        <v>72014.020911653541</v>
      </c>
      <c r="F75" s="1117">
        <v>70116.903359710384</v>
      </c>
      <c r="G75" s="1117">
        <v>67317.512770192654</v>
      </c>
      <c r="H75" s="1117">
        <v>64512.49746838335</v>
      </c>
      <c r="I75" s="356"/>
      <c r="J75" s="880"/>
      <c r="K75" s="881"/>
      <c r="L75" s="881"/>
      <c r="M75" s="881"/>
      <c r="N75" s="881"/>
      <c r="P75" s="880"/>
      <c r="Q75" s="881"/>
      <c r="R75" s="881"/>
      <c r="S75" s="881"/>
      <c r="T75" s="881"/>
    </row>
    <row r="76" spans="2:22" ht="15" x14ac:dyDescent="0.25">
      <c r="B76" s="1116" t="s">
        <v>301</v>
      </c>
      <c r="C76" s="1110" t="s">
        <v>298</v>
      </c>
      <c r="D76" s="393">
        <v>50104.596016981675</v>
      </c>
      <c r="E76" s="393">
        <v>11925.046481870111</v>
      </c>
      <c r="F76" s="1117">
        <v>12579.652100750642</v>
      </c>
      <c r="G76" s="1117">
        <v>12729.156413475246</v>
      </c>
      <c r="H76" s="1117">
        <v>12870.741020885676</v>
      </c>
      <c r="J76" s="880"/>
      <c r="K76" s="881"/>
      <c r="L76" s="881"/>
      <c r="M76" s="881"/>
      <c r="N76" s="881"/>
      <c r="P76" s="748"/>
      <c r="Q76" s="878"/>
      <c r="R76" s="878"/>
      <c r="S76" s="878"/>
      <c r="T76" s="878"/>
      <c r="U76" s="878"/>
    </row>
    <row r="77" spans="2:22" ht="15.75" thickBot="1" x14ac:dyDescent="0.3">
      <c r="B77" s="1116" t="s">
        <v>726</v>
      </c>
      <c r="C77" s="1110" t="s">
        <v>298</v>
      </c>
      <c r="D77" s="393">
        <v>47315.13361815035</v>
      </c>
      <c r="E77" s="393">
        <v>9916.9444077084809</v>
      </c>
      <c r="F77" s="1117">
        <v>12234.249070059135</v>
      </c>
      <c r="G77" s="1117">
        <v>13531.260254657622</v>
      </c>
      <c r="H77" s="1117">
        <v>11632.679885725114</v>
      </c>
      <c r="I77" s="356"/>
      <c r="J77" s="748"/>
      <c r="K77" s="878"/>
      <c r="L77" s="878"/>
      <c r="M77" s="878"/>
      <c r="N77" s="878"/>
      <c r="O77" s="878"/>
      <c r="V77" s="878"/>
    </row>
    <row r="78" spans="2:22" ht="13.5" thickBot="1" x14ac:dyDescent="0.25">
      <c r="B78" s="1096" t="s">
        <v>396</v>
      </c>
      <c r="C78" s="1118" t="s">
        <v>298</v>
      </c>
      <c r="D78" s="1613">
        <v>615785.26161901013</v>
      </c>
      <c r="E78" s="1613">
        <v>157840.4473567637</v>
      </c>
      <c r="F78" s="1098">
        <v>157362.80299809822</v>
      </c>
      <c r="G78" s="1098">
        <v>153719.51742357091</v>
      </c>
      <c r="H78" s="1098">
        <v>146862.49384057734</v>
      </c>
      <c r="I78" s="368"/>
      <c r="K78" s="878"/>
    </row>
    <row r="79" spans="2:22" ht="13.5" thickBot="1" x14ac:dyDescent="0.25">
      <c r="B79" s="1086" t="s">
        <v>397</v>
      </c>
      <c r="C79" s="1086"/>
      <c r="D79" s="1086"/>
      <c r="E79" s="1086" t="s">
        <v>745</v>
      </c>
      <c r="F79" s="1086" t="s">
        <v>746</v>
      </c>
      <c r="G79" s="1086" t="s">
        <v>747</v>
      </c>
      <c r="H79" s="1086" t="s">
        <v>748</v>
      </c>
      <c r="I79" s="882"/>
    </row>
    <row r="80" spans="2:22" ht="13.5" thickBot="1" x14ac:dyDescent="0.25">
      <c r="B80" s="328"/>
      <c r="C80" s="417"/>
      <c r="D80" s="417"/>
      <c r="E80" s="1119">
        <v>0.95520089987608769</v>
      </c>
      <c r="F80" s="1120">
        <v>0.87153366777015295</v>
      </c>
      <c r="G80" s="1120">
        <v>0.79519495234503002</v>
      </c>
      <c r="H80" s="1121">
        <v>0.72554283973086675</v>
      </c>
      <c r="I80" s="368"/>
      <c r="L80" s="883"/>
      <c r="M80" s="883"/>
    </row>
    <row r="81" spans="2:14" ht="13.5" thickBot="1" x14ac:dyDescent="0.25">
      <c r="B81" s="367"/>
      <c r="C81" s="366"/>
      <c r="D81" s="366"/>
      <c r="E81" s="368"/>
      <c r="F81" s="420"/>
      <c r="G81" s="368"/>
      <c r="H81" s="368"/>
      <c r="I81" s="368"/>
      <c r="L81" s="878"/>
      <c r="M81" s="878"/>
    </row>
    <row r="82" spans="2:14" ht="13.5" thickBot="1" x14ac:dyDescent="0.25">
      <c r="B82" s="1086" t="s">
        <v>398</v>
      </c>
      <c r="C82" s="1087"/>
      <c r="D82" s="1087" t="s">
        <v>297</v>
      </c>
      <c r="E82" s="1087" t="s">
        <v>745</v>
      </c>
      <c r="F82" s="1087" t="s">
        <v>746</v>
      </c>
      <c r="G82" s="1087" t="s">
        <v>747</v>
      </c>
      <c r="H82" s="1087" t="s">
        <v>748</v>
      </c>
      <c r="I82" s="421"/>
      <c r="L82" s="878"/>
    </row>
    <row r="83" spans="2:14" x14ac:dyDescent="0.2">
      <c r="B83" s="1116" t="s">
        <v>724</v>
      </c>
      <c r="C83" s="1110" t="s">
        <v>298</v>
      </c>
      <c r="D83" s="1117">
        <v>205324.03485526293</v>
      </c>
      <c r="E83" s="1117">
        <v>61117.990420707283</v>
      </c>
      <c r="F83" s="1117">
        <v>54411.58861066887</v>
      </c>
      <c r="G83" s="1117">
        <v>47824.287191881624</v>
      </c>
      <c r="H83" s="1117">
        <v>41970.16863200513</v>
      </c>
      <c r="I83" s="356"/>
    </row>
    <row r="84" spans="2:14" x14ac:dyDescent="0.2">
      <c r="B84" s="1116" t="s">
        <v>725</v>
      </c>
      <c r="C84" s="1110" t="s">
        <v>298</v>
      </c>
      <c r="D84" s="1117">
        <v>230234.22650690115</v>
      </c>
      <c r="E84" s="1117">
        <v>68787.857578506853</v>
      </c>
      <c r="F84" s="1117">
        <v>61109.241957773753</v>
      </c>
      <c r="G84" s="1117">
        <v>53530.546359279295</v>
      </c>
      <c r="H84" s="1117">
        <v>46806.580611341211</v>
      </c>
      <c r="I84" s="356"/>
      <c r="L84" s="883"/>
      <c r="M84" s="883"/>
    </row>
    <row r="85" spans="2:14" x14ac:dyDescent="0.2">
      <c r="B85" s="1122" t="s">
        <v>301</v>
      </c>
      <c r="C85" s="1123" t="s">
        <v>298</v>
      </c>
      <c r="D85" s="1124">
        <v>41814.840382526047</v>
      </c>
      <c r="E85" s="1124">
        <v>11390.815130546503</v>
      </c>
      <c r="F85" s="1124">
        <v>10963.590334639717</v>
      </c>
      <c r="G85" s="1124">
        <v>10122.160927605881</v>
      </c>
      <c r="H85" s="1124">
        <v>9338.2739897339488</v>
      </c>
      <c r="I85" s="356"/>
      <c r="L85" s="878"/>
      <c r="M85" s="878"/>
    </row>
    <row r="86" spans="2:14" ht="13.5" thickBot="1" x14ac:dyDescent="0.25">
      <c r="B86" s="1116" t="s">
        <v>727</v>
      </c>
      <c r="C86" s="1110" t="s">
        <v>298</v>
      </c>
      <c r="D86" s="1117">
        <v>39335.231638046294</v>
      </c>
      <c r="E86" s="1117">
        <v>9472.674222264277</v>
      </c>
      <c r="F86" s="1117">
        <v>10662.559964442222</v>
      </c>
      <c r="G86" s="1117">
        <v>10759.989853370666</v>
      </c>
      <c r="H86" s="1117">
        <v>8440.0075979691337</v>
      </c>
      <c r="I86" s="356"/>
      <c r="L86" s="878"/>
      <c r="M86" s="878"/>
    </row>
    <row r="87" spans="2:14" ht="13.5" thickBot="1" x14ac:dyDescent="0.25">
      <c r="B87" s="1125" t="s">
        <v>396</v>
      </c>
      <c r="C87" s="1126" t="s">
        <v>298</v>
      </c>
      <c r="D87" s="1127">
        <v>516708.33338273643</v>
      </c>
      <c r="E87" s="1127">
        <v>150769.33735202492</v>
      </c>
      <c r="F87" s="1127">
        <v>137146.98086752454</v>
      </c>
      <c r="G87" s="1127">
        <v>122236.98433213748</v>
      </c>
      <c r="H87" s="1127">
        <v>106555.03083104941</v>
      </c>
      <c r="I87" s="356"/>
    </row>
    <row r="88" spans="2:14" x14ac:dyDescent="0.2">
      <c r="B88" s="366"/>
      <c r="C88" s="423"/>
      <c r="D88" s="366"/>
      <c r="E88" s="366"/>
      <c r="F88" s="366"/>
      <c r="G88" s="366"/>
      <c r="H88" s="366"/>
      <c r="I88" s="366"/>
    </row>
    <row r="89" spans="2:14" x14ac:dyDescent="0.2">
      <c r="L89" s="430"/>
      <c r="M89" s="430"/>
      <c r="N89" s="430"/>
    </row>
    <row r="90" spans="2:14" x14ac:dyDescent="0.2">
      <c r="L90" s="430"/>
      <c r="M90" s="430"/>
      <c r="N90" s="430"/>
    </row>
    <row r="91" spans="2:14" x14ac:dyDescent="0.2">
      <c r="L91" s="430"/>
      <c r="M91" s="430"/>
      <c r="N91" s="430"/>
    </row>
    <row r="92" spans="2:14" x14ac:dyDescent="0.2">
      <c r="L92" s="430"/>
      <c r="M92" s="430"/>
      <c r="N92" s="430"/>
    </row>
    <row r="93" spans="2:14" x14ac:dyDescent="0.2">
      <c r="L93" s="430"/>
      <c r="M93" s="430"/>
      <c r="N93" s="430"/>
    </row>
    <row r="94" spans="2:14" x14ac:dyDescent="0.2">
      <c r="L94" s="465"/>
      <c r="M94" s="465"/>
      <c r="N94" s="465"/>
    </row>
    <row r="95" spans="2:14" x14ac:dyDescent="0.2">
      <c r="L95" s="453"/>
      <c r="M95" s="453"/>
      <c r="N95" s="453"/>
    </row>
    <row r="96" spans="2:14" x14ac:dyDescent="0.2">
      <c r="L96" s="430"/>
      <c r="M96" s="430"/>
      <c r="N96" s="430"/>
    </row>
    <row r="97" spans="2:15" x14ac:dyDescent="0.2">
      <c r="L97" s="430"/>
      <c r="M97" s="430"/>
      <c r="N97" s="430"/>
    </row>
    <row r="98" spans="2:15" x14ac:dyDescent="0.2">
      <c r="L98" s="430"/>
      <c r="M98" s="430"/>
      <c r="N98" s="430"/>
    </row>
    <row r="99" spans="2:15" x14ac:dyDescent="0.2">
      <c r="L99" s="430"/>
      <c r="M99" s="430"/>
      <c r="N99" s="430"/>
    </row>
    <row r="100" spans="2:15" x14ac:dyDescent="0.2">
      <c r="L100" s="430"/>
      <c r="M100" s="430"/>
      <c r="N100" s="430"/>
    </row>
    <row r="101" spans="2:15" x14ac:dyDescent="0.2">
      <c r="L101" s="453"/>
      <c r="M101" s="453"/>
      <c r="N101" s="453"/>
    </row>
    <row r="102" spans="2:15" x14ac:dyDescent="0.2">
      <c r="L102" s="466"/>
      <c r="M102" s="466"/>
      <c r="N102" s="466"/>
    </row>
    <row r="103" spans="2:15" x14ac:dyDescent="0.2">
      <c r="L103" s="466"/>
      <c r="M103" s="466"/>
      <c r="N103" s="466"/>
      <c r="O103" s="465"/>
    </row>
    <row r="104" spans="2:15" x14ac:dyDescent="0.2">
      <c r="L104" s="465"/>
      <c r="M104" s="465"/>
      <c r="N104" s="465"/>
    </row>
    <row r="105" spans="2:15" x14ac:dyDescent="0.2">
      <c r="L105" s="453"/>
      <c r="M105" s="453"/>
      <c r="N105" s="453"/>
    </row>
    <row r="106" spans="2:15" x14ac:dyDescent="0.2">
      <c r="L106" s="466"/>
      <c r="M106" s="466"/>
      <c r="N106" s="466"/>
    </row>
    <row r="107" spans="2:15" x14ac:dyDescent="0.2">
      <c r="L107" s="466"/>
      <c r="M107" s="466"/>
      <c r="N107" s="466"/>
    </row>
    <row r="108" spans="2:15" x14ac:dyDescent="0.2">
      <c r="B108" s="1801"/>
      <c r="C108" s="1801"/>
      <c r="D108" s="1801"/>
      <c r="E108" s="1801"/>
      <c r="F108" s="1801"/>
      <c r="G108" s="1801"/>
      <c r="H108" s="1801"/>
      <c r="I108" s="1801"/>
    </row>
    <row r="109" spans="2:15" x14ac:dyDescent="0.2">
      <c r="B109" s="1801"/>
      <c r="C109" s="1801"/>
      <c r="D109" s="1801"/>
      <c r="E109" s="1801"/>
      <c r="F109" s="1801"/>
      <c r="G109" s="1801"/>
      <c r="H109" s="1801"/>
      <c r="I109" s="1801"/>
    </row>
    <row r="110" spans="2:15" x14ac:dyDescent="0.2">
      <c r="B110" s="1801"/>
      <c r="C110" s="1801"/>
      <c r="D110" s="1801"/>
      <c r="E110" s="1801"/>
      <c r="F110" s="1801"/>
      <c r="G110" s="1801"/>
      <c r="H110" s="1801"/>
      <c r="I110" s="1801"/>
    </row>
    <row r="111" spans="2:15" ht="3" customHeight="1" x14ac:dyDescent="0.2">
      <c r="B111" s="300"/>
    </row>
    <row r="112" spans="2:15" ht="3" customHeight="1" x14ac:dyDescent="0.2">
      <c r="B112" s="300"/>
    </row>
    <row r="113" spans="2:11" x14ac:dyDescent="0.2">
      <c r="B113" s="467"/>
      <c r="C113" s="468"/>
      <c r="D113" s="468"/>
      <c r="E113" s="467"/>
      <c r="F113" s="467"/>
      <c r="G113" s="467"/>
      <c r="H113" s="467"/>
      <c r="I113" s="467"/>
    </row>
    <row r="114" spans="2:11" x14ac:dyDescent="0.2">
      <c r="B114" s="469"/>
      <c r="C114" s="468"/>
      <c r="D114" s="468"/>
      <c r="E114" s="468"/>
      <c r="F114" s="470"/>
      <c r="G114" s="470"/>
      <c r="H114" s="470"/>
      <c r="I114" s="470"/>
    </row>
    <row r="115" spans="2:11" x14ac:dyDescent="0.2">
      <c r="B115" s="468"/>
      <c r="C115" s="468"/>
      <c r="D115" s="468"/>
      <c r="E115" s="471"/>
      <c r="F115" s="471"/>
      <c r="G115" s="471"/>
      <c r="H115" s="471"/>
      <c r="I115" s="471"/>
      <c r="J115" s="333"/>
      <c r="K115" s="333"/>
    </row>
    <row r="116" spans="2:11" x14ac:dyDescent="0.2">
      <c r="B116" s="472"/>
      <c r="C116" s="468"/>
      <c r="D116" s="468"/>
      <c r="E116" s="471"/>
      <c r="F116" s="471"/>
      <c r="G116" s="471"/>
      <c r="H116" s="471"/>
      <c r="I116" s="471"/>
      <c r="J116" s="333"/>
      <c r="K116" s="333"/>
    </row>
    <row r="117" spans="2:11" x14ac:dyDescent="0.2">
      <c r="B117" s="468"/>
      <c r="C117" s="468"/>
      <c r="D117" s="468"/>
      <c r="E117" s="471"/>
      <c r="F117" s="471"/>
      <c r="G117" s="471"/>
      <c r="H117" s="471"/>
      <c r="I117" s="471"/>
      <c r="J117" s="333"/>
      <c r="K117" s="333"/>
    </row>
    <row r="118" spans="2:11" x14ac:dyDescent="0.2">
      <c r="B118" s="468"/>
      <c r="C118" s="468"/>
      <c r="D118" s="468"/>
      <c r="E118" s="471"/>
      <c r="F118" s="471"/>
      <c r="G118" s="471"/>
      <c r="H118" s="471"/>
      <c r="I118" s="471"/>
      <c r="J118" s="333"/>
      <c r="K118" s="333"/>
    </row>
    <row r="119" spans="2:11" x14ac:dyDescent="0.2">
      <c r="B119" s="468"/>
      <c r="C119" s="468"/>
      <c r="D119" s="468"/>
      <c r="E119" s="471"/>
      <c r="F119" s="471"/>
      <c r="G119" s="471"/>
      <c r="H119" s="471"/>
      <c r="I119" s="471"/>
      <c r="J119" s="333"/>
      <c r="K119" s="333"/>
    </row>
    <row r="120" spans="2:11" x14ac:dyDescent="0.2">
      <c r="B120" s="468"/>
      <c r="C120" s="468"/>
      <c r="D120" s="468"/>
      <c r="E120" s="471"/>
      <c r="F120" s="471"/>
      <c r="G120" s="471"/>
      <c r="H120" s="471"/>
      <c r="I120" s="471"/>
      <c r="J120" s="333"/>
      <c r="K120" s="333"/>
    </row>
    <row r="121" spans="2:11" x14ac:dyDescent="0.2">
      <c r="B121" s="468"/>
      <c r="C121" s="468"/>
      <c r="D121" s="468"/>
      <c r="E121" s="468"/>
      <c r="F121" s="468"/>
      <c r="G121" s="468"/>
      <c r="H121" s="468"/>
      <c r="I121" s="468"/>
    </row>
    <row r="122" spans="2:11" x14ac:dyDescent="0.2">
      <c r="B122" s="469"/>
      <c r="C122" s="468"/>
      <c r="D122" s="468"/>
      <c r="E122" s="467"/>
      <c r="F122" s="467"/>
      <c r="G122" s="467"/>
      <c r="H122" s="467"/>
      <c r="I122" s="467"/>
    </row>
    <row r="123" spans="2:11" x14ac:dyDescent="0.2">
      <c r="B123" s="469"/>
      <c r="C123" s="468"/>
      <c r="D123" s="468"/>
      <c r="E123" s="471"/>
      <c r="F123" s="471"/>
      <c r="G123" s="471"/>
      <c r="H123" s="471"/>
      <c r="I123" s="471"/>
    </row>
    <row r="124" spans="2:11" x14ac:dyDescent="0.2">
      <c r="B124" s="473"/>
      <c r="C124" s="468"/>
      <c r="D124" s="468"/>
      <c r="E124" s="471"/>
      <c r="F124" s="471"/>
      <c r="G124" s="471"/>
      <c r="H124" s="471"/>
      <c r="I124" s="471"/>
      <c r="J124" s="333"/>
      <c r="K124" s="333"/>
    </row>
    <row r="125" spans="2:11" x14ac:dyDescent="0.2">
      <c r="B125" s="469"/>
      <c r="C125" s="468"/>
      <c r="D125" s="468"/>
      <c r="E125" s="471"/>
      <c r="F125" s="471"/>
      <c r="G125" s="471"/>
      <c r="H125" s="471"/>
      <c r="I125" s="471"/>
    </row>
    <row r="126" spans="2:11" x14ac:dyDescent="0.2">
      <c r="B126" s="469"/>
      <c r="C126" s="468"/>
      <c r="D126" s="468"/>
      <c r="E126" s="471"/>
      <c r="F126" s="471"/>
      <c r="G126" s="471"/>
      <c r="H126" s="471"/>
      <c r="I126" s="471"/>
    </row>
    <row r="127" spans="2:11" x14ac:dyDescent="0.2">
      <c r="B127" s="468"/>
      <c r="C127" s="468"/>
      <c r="D127" s="468"/>
      <c r="E127" s="471"/>
      <c r="F127" s="471"/>
      <c r="G127" s="471"/>
      <c r="H127" s="471"/>
      <c r="I127" s="471"/>
      <c r="J127" s="350"/>
      <c r="K127" s="350"/>
    </row>
    <row r="128" spans="2:11" x14ac:dyDescent="0.2">
      <c r="B128" s="468"/>
      <c r="C128" s="468"/>
      <c r="D128" s="468"/>
      <c r="E128" s="471"/>
      <c r="F128" s="471"/>
      <c r="G128" s="471"/>
      <c r="H128" s="471"/>
      <c r="I128" s="471"/>
    </row>
    <row r="129" spans="2:15" x14ac:dyDescent="0.2">
      <c r="B129" s="468"/>
      <c r="C129" s="468"/>
      <c r="D129" s="468"/>
      <c r="E129" s="468"/>
      <c r="F129" s="468"/>
      <c r="G129" s="468"/>
      <c r="H129" s="468"/>
      <c r="I129" s="468"/>
    </row>
    <row r="130" spans="2:15" x14ac:dyDescent="0.2">
      <c r="B130" s="469"/>
      <c r="C130" s="468"/>
      <c r="D130" s="468"/>
      <c r="E130" s="474"/>
      <c r="F130" s="474"/>
      <c r="G130" s="474"/>
      <c r="H130" s="474"/>
      <c r="I130" s="474"/>
      <c r="M130" s="300"/>
      <c r="N130" s="300"/>
      <c r="O130" s="300"/>
    </row>
    <row r="131" spans="2:15" x14ac:dyDescent="0.2">
      <c r="B131" s="468"/>
      <c r="C131" s="468"/>
      <c r="D131" s="468"/>
      <c r="E131" s="468"/>
      <c r="F131" s="468"/>
      <c r="G131" s="468"/>
      <c r="H131" s="468"/>
      <c r="I131" s="468"/>
      <c r="M131" s="300"/>
      <c r="N131" s="300"/>
      <c r="O131" s="300"/>
    </row>
    <row r="132" spans="2:15" x14ac:dyDescent="0.2">
      <c r="B132" s="469"/>
      <c r="C132" s="468"/>
      <c r="D132" s="467"/>
      <c r="E132" s="468"/>
      <c r="F132" s="468"/>
      <c r="G132" s="468"/>
      <c r="H132" s="475"/>
      <c r="I132" s="475"/>
      <c r="M132" s="476"/>
      <c r="N132" s="476"/>
      <c r="O132" s="476"/>
    </row>
    <row r="133" spans="2:15" x14ac:dyDescent="0.2">
      <c r="B133" s="469"/>
      <c r="C133" s="468"/>
      <c r="D133" s="477"/>
      <c r="E133" s="478"/>
      <c r="F133" s="478"/>
      <c r="G133" s="478"/>
      <c r="H133" s="478"/>
      <c r="I133" s="479"/>
      <c r="M133" s="480"/>
      <c r="N133" s="480"/>
      <c r="O133" s="480"/>
    </row>
    <row r="134" spans="2:15" x14ac:dyDescent="0.2">
      <c r="B134" s="481"/>
      <c r="C134" s="468"/>
      <c r="D134" s="482"/>
      <c r="E134" s="483"/>
      <c r="F134" s="483"/>
      <c r="G134" s="483"/>
      <c r="H134" s="483"/>
      <c r="I134" s="479"/>
      <c r="M134" s="480"/>
      <c r="N134" s="480"/>
      <c r="O134" s="480"/>
    </row>
    <row r="135" spans="2:15" x14ac:dyDescent="0.2">
      <c r="B135" s="481"/>
      <c r="C135" s="468"/>
      <c r="D135" s="482"/>
      <c r="E135" s="483"/>
      <c r="F135" s="483"/>
      <c r="G135" s="483"/>
      <c r="H135" s="483"/>
      <c r="I135" s="479"/>
      <c r="M135" s="480"/>
      <c r="N135" s="480"/>
      <c r="O135" s="480"/>
    </row>
    <row r="136" spans="2:15" ht="13.5" customHeight="1" x14ac:dyDescent="0.2">
      <c r="B136" s="473"/>
      <c r="C136" s="468"/>
      <c r="D136" s="485"/>
      <c r="E136" s="478"/>
      <c r="F136" s="478"/>
      <c r="G136" s="478"/>
      <c r="H136" s="478"/>
      <c r="I136" s="479"/>
      <c r="M136" s="480"/>
      <c r="N136" s="480"/>
      <c r="O136" s="480"/>
    </row>
    <row r="137" spans="2:15" x14ac:dyDescent="0.2">
      <c r="B137" s="481"/>
      <c r="C137" s="468"/>
      <c r="D137" s="485"/>
      <c r="E137" s="478"/>
      <c r="F137" s="478"/>
      <c r="G137" s="478"/>
      <c r="H137" s="478"/>
      <c r="I137" s="479"/>
      <c r="M137" s="480"/>
      <c r="N137" s="480"/>
      <c r="O137" s="480"/>
    </row>
    <row r="138" spans="2:15" x14ac:dyDescent="0.2">
      <c r="B138" s="469"/>
      <c r="C138" s="468"/>
      <c r="D138" s="485"/>
      <c r="E138" s="479"/>
      <c r="F138" s="479"/>
      <c r="G138" s="479"/>
      <c r="H138" s="479"/>
      <c r="I138" s="479"/>
      <c r="M138" s="486"/>
      <c r="N138" s="486"/>
      <c r="O138" s="486"/>
    </row>
    <row r="139" spans="2:15" x14ac:dyDescent="0.2">
      <c r="B139" s="469"/>
      <c r="C139" s="468"/>
      <c r="D139" s="485"/>
      <c r="E139" s="479"/>
      <c r="F139" s="479"/>
      <c r="G139" s="479"/>
      <c r="H139" s="479"/>
      <c r="I139" s="479"/>
      <c r="M139" s="480"/>
      <c r="N139" s="480"/>
      <c r="O139" s="480"/>
    </row>
    <row r="140" spans="2:15" x14ac:dyDescent="0.2">
      <c r="B140" s="481"/>
      <c r="C140" s="468"/>
      <c r="D140" s="471"/>
      <c r="E140" s="479"/>
      <c r="F140" s="479"/>
      <c r="G140" s="479"/>
      <c r="H140" s="479"/>
      <c r="I140" s="479"/>
      <c r="M140" s="487"/>
      <c r="N140" s="487"/>
      <c r="O140" s="487"/>
    </row>
    <row r="141" spans="2:15" x14ac:dyDescent="0.2">
      <c r="B141" s="481"/>
      <c r="C141" s="468"/>
      <c r="D141" s="471"/>
      <c r="E141" s="479"/>
      <c r="F141" s="479"/>
      <c r="G141" s="479"/>
      <c r="H141" s="479"/>
      <c r="I141" s="479"/>
    </row>
    <row r="142" spans="2:15" x14ac:dyDescent="0.2">
      <c r="B142" s="469"/>
      <c r="C142" s="468"/>
      <c r="D142" s="485"/>
      <c r="E142" s="488"/>
      <c r="F142" s="488"/>
      <c r="G142" s="488"/>
      <c r="H142" s="488"/>
      <c r="I142" s="488"/>
      <c r="M142" s="489"/>
      <c r="N142" s="489"/>
      <c r="O142" s="489"/>
    </row>
    <row r="143" spans="2:15" x14ac:dyDescent="0.2">
      <c r="B143" s="300"/>
      <c r="D143" s="356"/>
      <c r="E143" s="490"/>
      <c r="G143" s="490"/>
      <c r="H143" s="490"/>
      <c r="I143" s="490"/>
    </row>
    <row r="144" spans="2:15" x14ac:dyDescent="0.2">
      <c r="I144" s="356"/>
    </row>
    <row r="145" spans="1:15" x14ac:dyDescent="0.2">
      <c r="E145" s="356"/>
      <c r="F145" s="356"/>
      <c r="G145" s="356"/>
      <c r="H145" s="356"/>
      <c r="I145" s="356"/>
    </row>
    <row r="146" spans="1:15" x14ac:dyDescent="0.2">
      <c r="D146" s="462"/>
      <c r="E146" s="300"/>
    </row>
    <row r="147" spans="1:15" x14ac:dyDescent="0.2">
      <c r="F147" s="422"/>
      <c r="G147" s="422"/>
      <c r="H147" s="422"/>
      <c r="I147" s="422"/>
    </row>
    <row r="148" spans="1:15" ht="21" customHeight="1" x14ac:dyDescent="0.2">
      <c r="B148" s="1799"/>
      <c r="C148" s="1800"/>
      <c r="F148" s="491"/>
      <c r="G148" s="491"/>
      <c r="H148" s="491"/>
      <c r="I148" s="491"/>
      <c r="M148" s="1801"/>
      <c r="N148" s="1801"/>
      <c r="O148" s="1801"/>
    </row>
    <row r="149" spans="1:15" ht="18.75" customHeight="1" x14ac:dyDescent="0.2">
      <c r="B149" s="492"/>
      <c r="C149" s="493"/>
      <c r="D149" s="491"/>
      <c r="E149" s="491"/>
      <c r="F149" s="491"/>
      <c r="G149" s="491"/>
      <c r="M149" s="353"/>
      <c r="N149" s="353"/>
      <c r="O149" s="353"/>
    </row>
    <row r="150" spans="1:15" ht="18.75" customHeight="1" x14ac:dyDescent="0.2">
      <c r="B150" s="492"/>
      <c r="C150" s="493"/>
      <c r="D150" s="491"/>
      <c r="E150" s="491"/>
      <c r="F150" s="491"/>
      <c r="G150" s="494"/>
      <c r="H150" s="300"/>
      <c r="I150" s="494"/>
      <c r="J150" s="300"/>
      <c r="K150" s="300"/>
      <c r="M150" s="353"/>
      <c r="N150" s="353"/>
      <c r="O150" s="353"/>
    </row>
    <row r="151" spans="1:15" ht="21" customHeight="1" x14ac:dyDescent="0.2">
      <c r="B151" s="467"/>
      <c r="C151" s="495"/>
      <c r="D151" s="491"/>
      <c r="E151" s="491"/>
      <c r="F151" s="300"/>
      <c r="G151" s="356"/>
      <c r="H151" s="356"/>
      <c r="I151" s="356"/>
      <c r="J151" s="356"/>
      <c r="K151" s="356"/>
      <c r="M151" s="353"/>
      <c r="N151" s="353"/>
      <c r="O151" s="353"/>
    </row>
    <row r="152" spans="1:15" x14ac:dyDescent="0.2">
      <c r="D152" s="491"/>
      <c r="E152" s="491"/>
      <c r="M152" s="353"/>
      <c r="N152" s="353"/>
      <c r="O152" s="353"/>
    </row>
    <row r="153" spans="1:15" x14ac:dyDescent="0.2">
      <c r="G153" s="491"/>
      <c r="H153" s="300"/>
      <c r="I153" s="300"/>
      <c r="J153" s="300"/>
      <c r="K153" s="300"/>
      <c r="L153" s="480"/>
      <c r="M153" s="480"/>
      <c r="N153" s="480"/>
      <c r="O153" s="480"/>
    </row>
    <row r="154" spans="1:15" x14ac:dyDescent="0.2">
      <c r="F154" s="300"/>
      <c r="G154" s="356"/>
      <c r="H154" s="356"/>
      <c r="I154" s="356"/>
      <c r="J154" s="356"/>
      <c r="K154" s="356"/>
      <c r="L154" s="480"/>
      <c r="M154" s="480"/>
      <c r="N154" s="480"/>
      <c r="O154" s="480"/>
    </row>
    <row r="155" spans="1:15" x14ac:dyDescent="0.2">
      <c r="A155" s="884"/>
      <c r="B155" s="350"/>
      <c r="C155" s="350"/>
      <c r="D155" s="350"/>
      <c r="E155" s="350"/>
      <c r="F155" s="350"/>
      <c r="G155" s="350"/>
      <c r="H155" s="350"/>
      <c r="I155" s="350"/>
      <c r="J155" s="497"/>
      <c r="K155" s="497"/>
      <c r="L155" s="497"/>
      <c r="M155" s="497"/>
      <c r="N155" s="497"/>
      <c r="O155" s="497"/>
    </row>
    <row r="156" spans="1:15" x14ac:dyDescent="0.2">
      <c r="E156" s="356"/>
      <c r="J156" s="480"/>
      <c r="K156" s="480"/>
      <c r="L156" s="480"/>
      <c r="M156" s="480"/>
      <c r="N156" s="480"/>
      <c r="O156" s="480"/>
    </row>
    <row r="157" spans="1:15" x14ac:dyDescent="0.2">
      <c r="J157" s="480"/>
      <c r="K157" s="480"/>
      <c r="L157" s="480"/>
      <c r="M157" s="480"/>
      <c r="N157" s="480"/>
      <c r="O157" s="480"/>
    </row>
    <row r="158" spans="1:15" x14ac:dyDescent="0.2">
      <c r="D158" s="356"/>
      <c r="I158" s="489"/>
      <c r="J158" s="480"/>
      <c r="K158" s="480"/>
      <c r="L158" s="480"/>
      <c r="M158" s="480"/>
      <c r="N158" s="480"/>
      <c r="O158" s="480"/>
    </row>
    <row r="160" spans="1:15" x14ac:dyDescent="0.2">
      <c r="B160" s="300"/>
      <c r="C160" s="353"/>
      <c r="D160" s="353"/>
      <c r="E160" s="353"/>
      <c r="F160" s="353"/>
      <c r="G160" s="353"/>
      <c r="H160" s="353"/>
      <c r="I160" s="353"/>
    </row>
    <row r="161" spans="2:9" x14ac:dyDescent="0.2">
      <c r="C161" s="332"/>
      <c r="D161" s="498"/>
      <c r="E161" s="498"/>
      <c r="F161" s="498"/>
      <c r="G161" s="498"/>
      <c r="H161" s="498"/>
      <c r="I161" s="498"/>
    </row>
    <row r="162" spans="2:9" x14ac:dyDescent="0.2">
      <c r="C162" s="332"/>
      <c r="D162" s="498"/>
      <c r="E162" s="498"/>
      <c r="F162" s="498"/>
      <c r="G162" s="498"/>
      <c r="H162" s="498"/>
      <c r="I162" s="498"/>
    </row>
    <row r="163" spans="2:9" x14ac:dyDescent="0.2">
      <c r="C163" s="332"/>
      <c r="D163" s="499"/>
      <c r="E163" s="498"/>
      <c r="F163" s="498"/>
      <c r="G163" s="498"/>
      <c r="H163" s="498"/>
      <c r="I163" s="498"/>
    </row>
    <row r="164" spans="2:9" x14ac:dyDescent="0.2">
      <c r="B164" s="300"/>
      <c r="C164" s="332"/>
      <c r="D164" s="332"/>
      <c r="H164" s="500"/>
    </row>
    <row r="165" spans="2:9" x14ac:dyDescent="0.2">
      <c r="C165" s="332"/>
      <c r="D165" s="333"/>
      <c r="E165" s="333"/>
      <c r="F165" s="333"/>
      <c r="G165" s="333"/>
      <c r="H165" s="333"/>
      <c r="I165" s="333"/>
    </row>
    <row r="166" spans="2:9" x14ac:dyDescent="0.2">
      <c r="C166" s="332"/>
      <c r="D166" s="333"/>
      <c r="E166" s="333"/>
      <c r="F166" s="333"/>
      <c r="G166" s="333"/>
      <c r="H166" s="333"/>
      <c r="I166" s="333"/>
    </row>
    <row r="167" spans="2:9" x14ac:dyDescent="0.2">
      <c r="C167" s="332"/>
      <c r="D167" s="333"/>
      <c r="E167" s="333"/>
      <c r="F167" s="333"/>
      <c r="G167" s="333"/>
      <c r="H167" s="333"/>
      <c r="I167" s="333"/>
    </row>
    <row r="168" spans="2:9" x14ac:dyDescent="0.2">
      <c r="C168" s="332"/>
      <c r="D168" s="333"/>
      <c r="E168" s="333"/>
      <c r="F168" s="333"/>
      <c r="G168" s="333"/>
      <c r="H168" s="333"/>
      <c r="I168" s="333"/>
    </row>
    <row r="169" spans="2:9" x14ac:dyDescent="0.2">
      <c r="C169" s="332"/>
      <c r="D169" s="333"/>
      <c r="E169" s="333"/>
      <c r="F169" s="333"/>
      <c r="G169" s="333"/>
      <c r="H169" s="333"/>
      <c r="I169" s="333"/>
    </row>
    <row r="170" spans="2:9" x14ac:dyDescent="0.2">
      <c r="C170" s="332"/>
      <c r="D170" s="333"/>
      <c r="E170" s="333"/>
      <c r="F170" s="333"/>
      <c r="G170" s="333"/>
      <c r="H170" s="333"/>
      <c r="I170" s="333"/>
    </row>
    <row r="171" spans="2:9" x14ac:dyDescent="0.2">
      <c r="B171" s="300"/>
      <c r="C171" s="332"/>
      <c r="D171" s="332"/>
    </row>
    <row r="172" spans="2:9" x14ac:dyDescent="0.2">
      <c r="C172" s="332"/>
      <c r="D172" s="333"/>
      <c r="E172" s="333"/>
      <c r="F172" s="333"/>
      <c r="G172" s="333"/>
      <c r="H172" s="333"/>
      <c r="I172" s="333"/>
    </row>
    <row r="173" spans="2:9" x14ac:dyDescent="0.2">
      <c r="C173" s="332"/>
      <c r="D173" s="333"/>
      <c r="E173" s="333"/>
      <c r="F173" s="333"/>
      <c r="G173" s="333"/>
      <c r="H173" s="333"/>
      <c r="I173" s="333"/>
    </row>
    <row r="174" spans="2:9" x14ac:dyDescent="0.2">
      <c r="B174" s="300"/>
      <c r="C174" s="332"/>
      <c r="D174" s="332"/>
    </row>
    <row r="175" spans="2:9" x14ac:dyDescent="0.2">
      <c r="C175" s="332"/>
      <c r="D175" s="501"/>
      <c r="E175" s="333"/>
      <c r="F175" s="333"/>
      <c r="G175" s="333"/>
      <c r="H175" s="333"/>
      <c r="I175" s="333"/>
    </row>
    <row r="176" spans="2:9" x14ac:dyDescent="0.2">
      <c r="C176" s="332"/>
      <c r="D176" s="501"/>
      <c r="E176" s="502"/>
      <c r="F176" s="502"/>
      <c r="G176" s="502"/>
      <c r="H176" s="502"/>
      <c r="I176" s="502"/>
    </row>
    <row r="178" spans="2:15" x14ac:dyDescent="0.2">
      <c r="B178" s="300"/>
      <c r="C178" s="332"/>
      <c r="D178" s="353"/>
      <c r="E178" s="353"/>
      <c r="F178" s="353"/>
      <c r="G178" s="353"/>
      <c r="H178" s="353"/>
      <c r="I178" s="353"/>
      <c r="J178" s="480"/>
      <c r="K178" s="480"/>
      <c r="L178" s="480"/>
      <c r="M178" s="480"/>
      <c r="N178" s="480"/>
      <c r="O178" s="480"/>
    </row>
    <row r="179" spans="2:15" x14ac:dyDescent="0.2">
      <c r="B179" s="300"/>
      <c r="C179" s="332"/>
      <c r="D179" s="332"/>
      <c r="E179" s="503"/>
      <c r="F179" s="300"/>
      <c r="G179" s="300"/>
      <c r="H179" s="300"/>
      <c r="I179" s="300"/>
      <c r="M179" s="487"/>
      <c r="N179" s="487"/>
      <c r="O179" s="487"/>
    </row>
    <row r="180" spans="2:15" x14ac:dyDescent="0.2">
      <c r="B180" s="300"/>
      <c r="C180" s="332"/>
      <c r="D180" s="332"/>
      <c r="E180" s="462"/>
      <c r="F180" s="462"/>
      <c r="G180" s="462"/>
      <c r="H180" s="462"/>
      <c r="I180" s="462"/>
    </row>
    <row r="181" spans="2:15" x14ac:dyDescent="0.2">
      <c r="C181" s="332"/>
      <c r="D181" s="332"/>
      <c r="E181" s="333"/>
      <c r="F181" s="333"/>
      <c r="G181" s="333"/>
      <c r="H181" s="333"/>
      <c r="I181" s="333"/>
      <c r="M181" s="489"/>
      <c r="N181" s="489"/>
      <c r="O181" s="489"/>
    </row>
    <row r="182" spans="2:15" x14ac:dyDescent="0.2">
      <c r="C182" s="332"/>
      <c r="D182" s="332"/>
      <c r="E182" s="333"/>
      <c r="F182" s="333"/>
      <c r="G182" s="333"/>
      <c r="H182" s="333"/>
      <c r="I182" s="333"/>
    </row>
    <row r="183" spans="2:15" x14ac:dyDescent="0.2">
      <c r="C183" s="332"/>
      <c r="D183" s="332"/>
      <c r="E183" s="333"/>
      <c r="F183" s="333"/>
      <c r="G183" s="333"/>
      <c r="H183" s="333"/>
      <c r="I183" s="333"/>
    </row>
    <row r="184" spans="2:15" x14ac:dyDescent="0.2">
      <c r="C184" s="332"/>
      <c r="D184" s="332"/>
      <c r="E184" s="333"/>
      <c r="F184" s="333"/>
      <c r="G184" s="333"/>
      <c r="H184" s="333"/>
      <c r="I184" s="333"/>
    </row>
    <row r="185" spans="2:15" x14ac:dyDescent="0.2">
      <c r="C185" s="332"/>
      <c r="D185" s="332"/>
      <c r="E185" s="504"/>
      <c r="F185" s="504"/>
      <c r="G185" s="504"/>
      <c r="H185" s="504"/>
      <c r="I185" s="504"/>
    </row>
    <row r="186" spans="2:15" x14ac:dyDescent="0.2">
      <c r="B186" s="300"/>
      <c r="C186" s="332"/>
      <c r="D186" s="332"/>
      <c r="E186" s="462"/>
      <c r="F186" s="462"/>
      <c r="G186" s="462"/>
      <c r="H186" s="462"/>
      <c r="I186" s="462"/>
    </row>
    <row r="187" spans="2:15" x14ac:dyDescent="0.2">
      <c r="C187" s="332"/>
      <c r="D187" s="332"/>
      <c r="E187" s="333"/>
      <c r="F187" s="333"/>
      <c r="G187" s="333"/>
      <c r="H187" s="333"/>
      <c r="I187" s="333"/>
    </row>
    <row r="188" spans="2:15" x14ac:dyDescent="0.2">
      <c r="C188" s="332"/>
      <c r="D188" s="332"/>
      <c r="E188" s="333"/>
      <c r="F188" s="333"/>
      <c r="G188" s="333"/>
      <c r="H188" s="333"/>
      <c r="I188" s="333"/>
    </row>
    <row r="189" spans="2:15" x14ac:dyDescent="0.2">
      <c r="C189" s="332"/>
      <c r="D189" s="332"/>
      <c r="E189" s="333"/>
      <c r="F189" s="333"/>
      <c r="G189" s="333"/>
      <c r="H189" s="333"/>
      <c r="I189" s="333"/>
    </row>
    <row r="190" spans="2:15" x14ac:dyDescent="0.2">
      <c r="C190" s="332"/>
      <c r="D190" s="332"/>
      <c r="E190" s="333"/>
      <c r="F190" s="333"/>
      <c r="G190" s="333"/>
      <c r="H190" s="333"/>
      <c r="I190" s="333"/>
    </row>
    <row r="191" spans="2:15" x14ac:dyDescent="0.2">
      <c r="C191" s="332"/>
      <c r="D191" s="332"/>
      <c r="E191" s="333"/>
      <c r="F191" s="333"/>
      <c r="G191" s="333"/>
      <c r="H191" s="333"/>
      <c r="I191" s="333"/>
    </row>
    <row r="192" spans="2:15" x14ac:dyDescent="0.2">
      <c r="B192" s="300"/>
      <c r="C192" s="332"/>
      <c r="D192" s="332"/>
      <c r="E192" s="462"/>
      <c r="F192" s="462"/>
      <c r="G192" s="462"/>
      <c r="H192" s="462"/>
      <c r="I192" s="462"/>
    </row>
    <row r="193" spans="2:9" x14ac:dyDescent="0.2">
      <c r="C193" s="332"/>
      <c r="D193" s="501"/>
      <c r="E193" s="501"/>
      <c r="F193" s="501"/>
      <c r="G193" s="501"/>
      <c r="H193" s="501"/>
      <c r="I193" s="501"/>
    </row>
    <row r="194" spans="2:9" x14ac:dyDescent="0.2">
      <c r="C194" s="332"/>
      <c r="D194" s="501"/>
      <c r="E194" s="501"/>
      <c r="F194" s="501"/>
      <c r="G194" s="501"/>
      <c r="H194" s="501"/>
      <c r="I194" s="501"/>
    </row>
    <row r="195" spans="2:9" x14ac:dyDescent="0.2">
      <c r="B195" s="320"/>
      <c r="C195" s="348"/>
      <c r="D195" s="348"/>
      <c r="E195" s="505"/>
      <c r="F195" s="505"/>
      <c r="G195" s="505"/>
      <c r="H195" s="505"/>
      <c r="I195" s="505"/>
    </row>
    <row r="196" spans="2:9" x14ac:dyDescent="0.2">
      <c r="B196" s="506"/>
      <c r="C196" s="320"/>
      <c r="D196" s="320"/>
      <c r="E196" s="507"/>
      <c r="F196" s="507"/>
      <c r="G196" s="507"/>
      <c r="H196" s="507"/>
      <c r="I196" s="507"/>
    </row>
  </sheetData>
  <mergeCells count="10">
    <mergeCell ref="B148:C148"/>
    <mergeCell ref="M148:O148"/>
    <mergeCell ref="B2:I2"/>
    <mergeCell ref="B3:I3"/>
    <mergeCell ref="B4:I4"/>
    <mergeCell ref="B108:I108"/>
    <mergeCell ref="B109:I109"/>
    <mergeCell ref="B110:I110"/>
    <mergeCell ref="G10:H10"/>
    <mergeCell ref="G11:H11"/>
  </mergeCells>
  <dataValidations disablePrompts="1" count="1">
    <dataValidation type="list" allowBlank="1" showInputMessage="1" showErrorMessage="1" sqref="K31:K35" xr:uid="{00000000-0002-0000-0B00-000000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5" fitToHeight="0" orientation="landscape" verticalDpi="597" r:id="rId1"/>
  <rowBreaks count="2" manualBreakCount="2">
    <brk id="106" max="16383" man="1"/>
    <brk id="15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B1:H43"/>
  <sheetViews>
    <sheetView showGridLines="0" zoomScaleNormal="100" workbookViewId="0">
      <selection activeCell="D6" sqref="D6"/>
    </sheetView>
  </sheetViews>
  <sheetFormatPr baseColWidth="10" defaultColWidth="11.42578125" defaultRowHeight="12.75" x14ac:dyDescent="0.2"/>
  <cols>
    <col min="1" max="1" width="3.7109375" style="272" customWidth="1"/>
    <col min="2" max="2" width="49.7109375" style="272" customWidth="1"/>
    <col min="3" max="3" width="12.28515625" style="272" bestFit="1" customWidth="1"/>
    <col min="4" max="6" width="14.7109375" style="272" customWidth="1"/>
    <col min="7" max="16384" width="11.42578125" style="272"/>
  </cols>
  <sheetData>
    <row r="1" spans="2:8" ht="13.5" thickBot="1" x14ac:dyDescent="0.25"/>
    <row r="2" spans="2:8" x14ac:dyDescent="0.2">
      <c r="B2" s="289" t="s">
        <v>20</v>
      </c>
      <c r="C2" s="287">
        <f>+'Parámetros de eficiencia'!C7</f>
        <v>9.6000000000000002E-2</v>
      </c>
      <c r="D2" s="272" t="str">
        <f>+' IMP Existente 2017 2021'!B9</f>
        <v>OMT</v>
      </c>
      <c r="E2" s="627">
        <f>+'IMP Existente APROBADO'!E7</f>
        <v>1.7463481823484322E-2</v>
      </c>
    </row>
    <row r="3" spans="2:8" ht="13.5" thickBot="1" x14ac:dyDescent="0.25">
      <c r="B3" s="290" t="s">
        <v>304</v>
      </c>
      <c r="C3" s="288">
        <f>+'Parámetros de eficiencia'!C8</f>
        <v>3.2314329354868353E-2</v>
      </c>
      <c r="D3" s="272" t="str">
        <f>+' IMP Existente 2017 2021'!B10</f>
        <v>ADMT</v>
      </c>
      <c r="E3" s="627">
        <f>+'IMP Existente APROBADO'!E8</f>
        <v>8.2319969859183714E-3</v>
      </c>
    </row>
    <row r="4" spans="2:8" ht="13.5" thickBot="1" x14ac:dyDescent="0.25"/>
    <row r="5" spans="2:8" x14ac:dyDescent="0.2">
      <c r="B5" s="620" t="s">
        <v>303</v>
      </c>
      <c r="C5" s="621" t="s">
        <v>16</v>
      </c>
      <c r="D5" s="1467">
        <v>2024</v>
      </c>
      <c r="E5" s="1467">
        <v>2025</v>
      </c>
      <c r="F5" s="1467">
        <v>2026</v>
      </c>
      <c r="G5" s="1467">
        <v>2027</v>
      </c>
      <c r="H5" s="1467">
        <v>2028</v>
      </c>
    </row>
    <row r="6" spans="2:8" x14ac:dyDescent="0.2">
      <c r="B6" s="1065" t="s">
        <v>302</v>
      </c>
      <c r="C6" s="1066" t="s">
        <v>298</v>
      </c>
      <c r="D6" s="1067">
        <f>'IMP Existente APROBADO'!D25</f>
        <v>113196.85075048261</v>
      </c>
      <c r="E6" s="1067">
        <f>'IMP Existente APROBADO'!E25</f>
        <v>125884.74919048262</v>
      </c>
      <c r="F6" s="1067">
        <f>'IMP Existente APROBADO'!F25</f>
        <v>125884.74919048262</v>
      </c>
      <c r="G6" s="1067">
        <f>'IMP Existente APROBADO'!G25</f>
        <v>131013.80519048261</v>
      </c>
      <c r="H6" s="1067">
        <f>'IMP Existente APROBADO'!H25</f>
        <v>131013.80519048261</v>
      </c>
    </row>
    <row r="7" spans="2:8" x14ac:dyDescent="0.2">
      <c r="D7" s="629"/>
      <c r="E7" s="629"/>
      <c r="F7" s="629"/>
      <c r="G7" s="629"/>
      <c r="H7" s="629"/>
    </row>
    <row r="8" spans="2:8" ht="13.5" thickBot="1" x14ac:dyDescent="0.25">
      <c r="E8" s="629"/>
      <c r="F8" s="629"/>
      <c r="G8" s="629"/>
      <c r="H8" s="629"/>
    </row>
    <row r="9" spans="2:8" x14ac:dyDescent="0.2">
      <c r="B9" s="284" t="s">
        <v>301</v>
      </c>
      <c r="C9" s="282"/>
      <c r="D9" s="1059">
        <v>2025</v>
      </c>
      <c r="E9" s="1059">
        <v>2026</v>
      </c>
      <c r="F9" s="1059">
        <v>2027</v>
      </c>
      <c r="G9" s="1059">
        <v>2028</v>
      </c>
      <c r="H9" s="1059">
        <v>2029</v>
      </c>
    </row>
    <row r="10" spans="2:8" x14ac:dyDescent="0.2">
      <c r="B10" s="622" t="s">
        <v>300</v>
      </c>
      <c r="C10" s="623" t="s">
        <v>298</v>
      </c>
      <c r="D10" s="626">
        <f>+D6*$E$2</f>
        <v>1976.8111455567207</v>
      </c>
      <c r="E10" s="626">
        <f t="shared" ref="E10:H10" si="0">+E6*$E$2</f>
        <v>2198.3860293418757</v>
      </c>
      <c r="F10" s="626">
        <f t="shared" si="0"/>
        <v>2198.3860293418757</v>
      </c>
      <c r="G10" s="626">
        <f t="shared" si="0"/>
        <v>2287.9572055695089</v>
      </c>
      <c r="H10" s="626">
        <f t="shared" si="0"/>
        <v>2287.9572055695089</v>
      </c>
    </row>
    <row r="11" spans="2:8" x14ac:dyDescent="0.2">
      <c r="B11" s="279" t="s">
        <v>299</v>
      </c>
      <c r="C11" s="278" t="s">
        <v>298</v>
      </c>
      <c r="D11" s="280">
        <f>+D6*$E$3</f>
        <v>931.83613419342464</v>
      </c>
      <c r="E11" s="280">
        <f t="shared" ref="E11:H11" si="1">+E6*$E$3</f>
        <v>1036.2828759091431</v>
      </c>
      <c r="F11" s="280">
        <f t="shared" si="1"/>
        <v>1036.2828759091431</v>
      </c>
      <c r="G11" s="280">
        <f t="shared" si="1"/>
        <v>1078.5052494417496</v>
      </c>
      <c r="H11" s="280">
        <f t="shared" si="1"/>
        <v>1078.5052494417496</v>
      </c>
    </row>
    <row r="12" spans="2:8" x14ac:dyDescent="0.2">
      <c r="B12" s="279" t="s">
        <v>20</v>
      </c>
      <c r="C12" s="278" t="s">
        <v>298</v>
      </c>
      <c r="D12" s="624">
        <f>+D6*$C$2</f>
        <v>10866.897672046331</v>
      </c>
      <c r="E12" s="624">
        <f t="shared" ref="E12:H12" si="2">+E6*$C$2</f>
        <v>12084.935922286331</v>
      </c>
      <c r="F12" s="624">
        <f t="shared" si="2"/>
        <v>12084.935922286331</v>
      </c>
      <c r="G12" s="624">
        <f t="shared" si="2"/>
        <v>12577.325298286331</v>
      </c>
      <c r="H12" s="624">
        <f t="shared" si="2"/>
        <v>12577.325298286331</v>
      </c>
    </row>
    <row r="13" spans="2:8" ht="13.5" thickBot="1" x14ac:dyDescent="0.25">
      <c r="B13" s="276" t="s">
        <v>355</v>
      </c>
      <c r="C13" s="275" t="s">
        <v>298</v>
      </c>
      <c r="D13" s="625">
        <f>+D6*$C$3</f>
        <v>3657.8803170849719</v>
      </c>
      <c r="E13" s="625">
        <f>+E6*$C$3</f>
        <v>4067.8812460962527</v>
      </c>
      <c r="F13" s="625">
        <f>+F6*$C$3</f>
        <v>4067.8812460962527</v>
      </c>
      <c r="G13" s="625">
        <f>+G6*$C$3</f>
        <v>4233.6232509598158</v>
      </c>
      <c r="H13" s="625">
        <f>+H6*$C$3</f>
        <v>4233.6232509598158</v>
      </c>
    </row>
    <row r="14" spans="2:8" ht="13.5" thickBot="1" x14ac:dyDescent="0.25">
      <c r="B14" s="276" t="s">
        <v>662</v>
      </c>
      <c r="C14" s="275" t="s">
        <v>298</v>
      </c>
      <c r="D14" s="625"/>
      <c r="E14" s="625"/>
      <c r="F14" s="625"/>
      <c r="G14" s="625"/>
      <c r="H14" s="625"/>
    </row>
    <row r="15" spans="2:8" ht="13.5" thickBot="1" x14ac:dyDescent="0.25">
      <c r="B15" s="276"/>
      <c r="C15" s="275" t="s">
        <v>298</v>
      </c>
      <c r="D15" s="273">
        <f>SUM(D10:D13)</f>
        <v>17433.425268881449</v>
      </c>
      <c r="E15" s="273">
        <f t="shared" ref="E15:G15" si="3">SUM(E10:E13)</f>
        <v>19387.486073633605</v>
      </c>
      <c r="F15" s="273">
        <f t="shared" si="3"/>
        <v>19387.486073633605</v>
      </c>
      <c r="G15" s="273">
        <f t="shared" si="3"/>
        <v>20177.411004257403</v>
      </c>
      <c r="H15" s="273">
        <f>SUM(H10:H13)</f>
        <v>20177.411004257403</v>
      </c>
    </row>
    <row r="16" spans="2:8" ht="13.5" thickBot="1" x14ac:dyDescent="0.25"/>
    <row r="17" spans="2:8" x14ac:dyDescent="0.2">
      <c r="B17" s="284"/>
      <c r="C17" s="282" t="s">
        <v>16</v>
      </c>
      <c r="D17" s="283" t="s">
        <v>931</v>
      </c>
      <c r="E17" s="283" t="s">
        <v>932</v>
      </c>
      <c r="F17" s="283" t="s">
        <v>933</v>
      </c>
      <c r="G17" s="283" t="s">
        <v>934</v>
      </c>
    </row>
    <row r="18" spans="2:8" x14ac:dyDescent="0.2">
      <c r="B18" s="622"/>
      <c r="C18" s="623" t="s">
        <v>298</v>
      </c>
      <c r="D18" s="1157">
        <f>+D15/2</f>
        <v>8716.7126344407243</v>
      </c>
      <c r="E18" s="1157">
        <f>+E15/2</f>
        <v>9693.7430368168025</v>
      </c>
      <c r="F18" s="1157">
        <f>+F15/2</f>
        <v>9693.7430368168025</v>
      </c>
      <c r="G18" s="1157">
        <f>+G15/2</f>
        <v>10088.705502128701</v>
      </c>
    </row>
    <row r="19" spans="2:8" ht="13.5" thickBot="1" x14ac:dyDescent="0.25">
      <c r="B19" s="279"/>
      <c r="C19" s="278" t="s">
        <v>298</v>
      </c>
      <c r="D19" s="724">
        <f>+E15/2</f>
        <v>9693.7430368168025</v>
      </c>
      <c r="E19" s="724">
        <f>+F15/2</f>
        <v>9693.7430368168025</v>
      </c>
      <c r="F19" s="724">
        <f>+G15/2</f>
        <v>10088.705502128701</v>
      </c>
      <c r="G19" s="724">
        <f>+H15/2</f>
        <v>10088.705502128701</v>
      </c>
    </row>
    <row r="20" spans="2:8" x14ac:dyDescent="0.2">
      <c r="B20" s="279"/>
      <c r="C20" s="278" t="s">
        <v>298</v>
      </c>
      <c r="D20" s="724">
        <f>SUM(D18:D19)+D14</f>
        <v>18410.455671257529</v>
      </c>
      <c r="E20" s="724">
        <f>SUM(E18:E19)+E14</f>
        <v>19387.486073633605</v>
      </c>
      <c r="F20" s="724">
        <f>SUM(F18:F19)+F14</f>
        <v>19782.448538945504</v>
      </c>
      <c r="G20" s="724">
        <f>SUM(G18:G19)+G14</f>
        <v>20177.411004257403</v>
      </c>
      <c r="H20" s="282" t="s">
        <v>297</v>
      </c>
    </row>
    <row r="21" spans="2:8" x14ac:dyDescent="0.2">
      <c r="B21" s="279" t="s">
        <v>119</v>
      </c>
      <c r="C21" s="278" t="s">
        <v>298</v>
      </c>
      <c r="D21" s="1162">
        <f>+'IMP Existente APROBADO'!E80</f>
        <v>0.95520089987608769</v>
      </c>
      <c r="E21" s="1162">
        <f>+'IMP Existente APROBADO'!F80</f>
        <v>0.87153366777015295</v>
      </c>
      <c r="F21" s="1162">
        <f>+'IMP Existente APROBADO'!G80</f>
        <v>0.79519495234503002</v>
      </c>
      <c r="G21" s="1162">
        <f>+'IMP Existente APROBADO'!H80</f>
        <v>0.72554283973086675</v>
      </c>
      <c r="H21" s="277"/>
    </row>
    <row r="22" spans="2:8" ht="13.5" thickBot="1" x14ac:dyDescent="0.25">
      <c r="B22" s="1158" t="s">
        <v>296</v>
      </c>
      <c r="C22" s="1159" t="s">
        <v>298</v>
      </c>
      <c r="D22" s="1160">
        <f>+D20*D21</f>
        <v>17585.683824314012</v>
      </c>
      <c r="E22" s="1160">
        <f t="shared" ref="E22:G22" si="4">+E20*E21</f>
        <v>16896.846846596658</v>
      </c>
      <c r="F22" s="1160">
        <f t="shared" si="4"/>
        <v>15730.903223194779</v>
      </c>
      <c r="G22" s="1160">
        <f t="shared" si="4"/>
        <v>14639.576078445756</v>
      </c>
      <c r="H22" s="274">
        <f>+SUM(D22:G22)</f>
        <v>64853.009972551197</v>
      </c>
    </row>
    <row r="23" spans="2:8" ht="13.5" thickBot="1" x14ac:dyDescent="0.25"/>
    <row r="24" spans="2:8" ht="13.5" thickBot="1" x14ac:dyDescent="0.25">
      <c r="B24" s="1056" t="s">
        <v>709</v>
      </c>
      <c r="C24" s="1062" t="s">
        <v>16</v>
      </c>
      <c r="D24" s="1059" t="str">
        <f>+D17</f>
        <v>2025 - 2026</v>
      </c>
      <c r="E24" s="1059" t="str">
        <f t="shared" ref="E24:G24" si="5">+E17</f>
        <v>2026 - 2027</v>
      </c>
      <c r="F24" s="1059" t="str">
        <f t="shared" si="5"/>
        <v>2027 - 2028</v>
      </c>
      <c r="G24" s="1464" t="str">
        <f t="shared" si="5"/>
        <v>2028 - 2029</v>
      </c>
      <c r="H24" s="1062" t="s">
        <v>297</v>
      </c>
    </row>
    <row r="25" spans="2:8" ht="18.75" x14ac:dyDescent="0.3">
      <c r="B25" s="1057" t="s">
        <v>710</v>
      </c>
      <c r="C25" s="1063" t="s">
        <v>298</v>
      </c>
      <c r="D25" s="1060">
        <f>'IMP Existente APROBADO'!E76*D21</f>
        <v>11390.815130546503</v>
      </c>
      <c r="E25" s="1060">
        <f>'IMP Existente APROBADO'!F76*E21</f>
        <v>10963.590334639717</v>
      </c>
      <c r="F25" s="1060">
        <f>'IMP Existente APROBADO'!G76*F21</f>
        <v>10122.160927605881</v>
      </c>
      <c r="G25" s="1060">
        <f>'IMP Existente APROBADO'!H76*G21</f>
        <v>9338.2739897339488</v>
      </c>
      <c r="H25" s="1465">
        <f>SUM(D25:G25)</f>
        <v>41814.840382526047</v>
      </c>
    </row>
    <row r="26" spans="2:8" ht="22.9" customHeight="1" thickBot="1" x14ac:dyDescent="0.35">
      <c r="B26" s="1058" t="str">
        <f>+B22</f>
        <v>IPCT VNR</v>
      </c>
      <c r="C26" s="1064" t="s">
        <v>298</v>
      </c>
      <c r="D26" s="1061">
        <f>+D22</f>
        <v>17585.683824314012</v>
      </c>
      <c r="E26" s="1061">
        <f t="shared" ref="E26:G26" si="6">+E22</f>
        <v>16896.846846596658</v>
      </c>
      <c r="F26" s="1061">
        <f t="shared" si="6"/>
        <v>15730.903223194779</v>
      </c>
      <c r="G26" s="1061">
        <f t="shared" si="6"/>
        <v>14639.576078445756</v>
      </c>
      <c r="H26" s="1466">
        <f>SUM(D26:G26)</f>
        <v>64853.009972551197</v>
      </c>
    </row>
    <row r="27" spans="2:8" ht="19.5" thickBot="1" x14ac:dyDescent="0.35">
      <c r="B27" s="290" t="s">
        <v>135</v>
      </c>
      <c r="C27" s="1460">
        <f>(+H25/H26)</f>
        <v>0.64476329472177196</v>
      </c>
    </row>
    <row r="28" spans="2:8" x14ac:dyDescent="0.2">
      <c r="D28" s="628"/>
      <c r="E28" s="629"/>
    </row>
    <row r="29" spans="2:8" x14ac:dyDescent="0.2">
      <c r="D29" s="628"/>
      <c r="E29" s="629"/>
    </row>
    <row r="30" spans="2:8" x14ac:dyDescent="0.2">
      <c r="D30" s="628"/>
      <c r="E30" s="629"/>
    </row>
    <row r="31" spans="2:8" x14ac:dyDescent="0.2">
      <c r="D31" s="628"/>
      <c r="E31" s="629"/>
    </row>
    <row r="32" spans="2:8" x14ac:dyDescent="0.2">
      <c r="D32" s="628"/>
      <c r="E32" s="629"/>
    </row>
    <row r="33" spans="4:5" x14ac:dyDescent="0.2">
      <c r="D33" s="628"/>
      <c r="E33" s="629"/>
    </row>
    <row r="34" spans="4:5" x14ac:dyDescent="0.2">
      <c r="D34" s="628"/>
      <c r="E34" s="629"/>
    </row>
    <row r="35" spans="4:5" ht="14.25" x14ac:dyDescent="0.2">
      <c r="D35" s="1079"/>
    </row>
    <row r="36" spans="4:5" ht="14.25" x14ac:dyDescent="0.2">
      <c r="D36" s="1079"/>
      <c r="E36" s="629"/>
    </row>
    <row r="37" spans="4:5" ht="14.25" x14ac:dyDescent="0.2">
      <c r="D37" s="1079"/>
    </row>
    <row r="38" spans="4:5" ht="14.25" x14ac:dyDescent="0.2">
      <c r="D38" s="1079"/>
      <c r="E38" s="629"/>
    </row>
    <row r="39" spans="4:5" x14ac:dyDescent="0.2">
      <c r="D39" s="1163"/>
      <c r="E39" s="629"/>
    </row>
    <row r="40" spans="4:5" x14ac:dyDescent="0.2">
      <c r="D40" s="628"/>
      <c r="E40" s="629"/>
    </row>
    <row r="41" spans="4:5" x14ac:dyDescent="0.2">
      <c r="D41" s="628"/>
      <c r="E41" s="629"/>
    </row>
    <row r="42" spans="4:5" x14ac:dyDescent="0.2">
      <c r="D42" s="628"/>
      <c r="E42" s="629"/>
    </row>
    <row r="43" spans="4:5" x14ac:dyDescent="0.2">
      <c r="D43" s="628"/>
      <c r="E43" s="629"/>
    </row>
  </sheetData>
  <phoneticPr fontId="124" type="noConversion"/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I16"/>
  <sheetViews>
    <sheetView workbookViewId="0">
      <selection activeCell="F24" sqref="F24"/>
    </sheetView>
  </sheetViews>
  <sheetFormatPr baseColWidth="10" defaultColWidth="11.42578125" defaultRowHeight="12.75" x14ac:dyDescent="0.2"/>
  <cols>
    <col min="1" max="1" width="13.7109375" style="1" customWidth="1"/>
    <col min="2" max="2" width="8.85546875" style="1" customWidth="1"/>
    <col min="3" max="3" width="10.28515625" style="1" customWidth="1"/>
    <col min="4" max="8" width="7.28515625" style="1" customWidth="1"/>
    <col min="9" max="16384" width="11.42578125" style="1"/>
  </cols>
  <sheetData>
    <row r="1" spans="1:9" ht="15" x14ac:dyDescent="0.25">
      <c r="A1" s="1806" t="s">
        <v>12</v>
      </c>
      <c r="B1" s="1806"/>
      <c r="C1" s="1806"/>
      <c r="D1" s="1806"/>
      <c r="E1" s="1806"/>
      <c r="F1" s="1806"/>
      <c r="G1" s="1806"/>
      <c r="H1" s="1806"/>
    </row>
    <row r="2" spans="1:9" ht="15" x14ac:dyDescent="0.25">
      <c r="A2" s="1806" t="s">
        <v>13</v>
      </c>
      <c r="B2" s="1806"/>
      <c r="C2" s="1806"/>
      <c r="D2" s="1806"/>
      <c r="E2" s="1806"/>
      <c r="F2" s="1806"/>
      <c r="G2" s="1806"/>
      <c r="H2" s="1806"/>
    </row>
    <row r="3" spans="1:9" ht="15.75" thickBot="1" x14ac:dyDescent="0.3">
      <c r="A3" s="1805" t="s">
        <v>14</v>
      </c>
      <c r="B3" s="1805"/>
      <c r="C3" s="1805"/>
      <c r="D3" s="1805"/>
      <c r="E3" s="1805"/>
      <c r="F3" s="1805"/>
      <c r="G3" s="1805"/>
      <c r="H3" s="1805"/>
    </row>
    <row r="4" spans="1:9" ht="15" x14ac:dyDescent="0.25">
      <c r="A4" s="1474" t="s">
        <v>15</v>
      </c>
      <c r="B4" s="1475" t="s">
        <v>16</v>
      </c>
      <c r="C4" s="1475">
        <v>2025</v>
      </c>
      <c r="D4" s="1476">
        <f>+C4+1</f>
        <v>2026</v>
      </c>
      <c r="E4" s="1476">
        <f>+D4+1</f>
        <v>2027</v>
      </c>
      <c r="F4" s="1476">
        <f>+E4+1</f>
        <v>2028</v>
      </c>
      <c r="G4" s="1476">
        <f>+F4+1</f>
        <v>2029</v>
      </c>
      <c r="H4" s="1476">
        <f>+G4+1</f>
        <v>2030</v>
      </c>
    </row>
    <row r="5" spans="1:9" ht="14.25" x14ac:dyDescent="0.2">
      <c r="A5" s="1477" t="s">
        <v>17</v>
      </c>
      <c r="B5" s="1478" t="s">
        <v>18</v>
      </c>
      <c r="C5" s="1479">
        <f>+'IMP Existente APROBADO'!E7</f>
        <v>1.7463481823484322E-2</v>
      </c>
      <c r="D5" s="1479">
        <f>+'IMP Existente APROBADO'!F7</f>
        <v>1.7463481823484322E-2</v>
      </c>
      <c r="E5" s="1479">
        <f>+'IMP Existente APROBADO'!G7</f>
        <v>1.7463481823484322E-2</v>
      </c>
      <c r="F5" s="1479">
        <f>+'IMP Existente APROBADO'!H7</f>
        <v>1.7463481823484322E-2</v>
      </c>
      <c r="G5" s="1479">
        <f>+'IMP Existente APROBADO'!I7</f>
        <v>1.7463481823484322E-2</v>
      </c>
      <c r="H5" s="1479">
        <f>+'IMP Existente APROBADO'!J7</f>
        <v>0</v>
      </c>
    </row>
    <row r="6" spans="1:9" ht="14.25" x14ac:dyDescent="0.2">
      <c r="A6" s="1477" t="s">
        <v>19</v>
      </c>
      <c r="B6" s="1478" t="s">
        <v>18</v>
      </c>
      <c r="C6" s="1479">
        <f>+'IMP Existente APROBADO'!E8</f>
        <v>8.2319969859183714E-3</v>
      </c>
      <c r="D6" s="1479">
        <f>+'IMP Existente APROBADO'!F8</f>
        <v>8.2319969859183714E-3</v>
      </c>
      <c r="E6" s="1479">
        <f>+'IMP Existente APROBADO'!G8</f>
        <v>8.2319969859183714E-3</v>
      </c>
      <c r="F6" s="1479">
        <f>+'IMP Existente APROBADO'!H8</f>
        <v>8.2319969859183714E-3</v>
      </c>
      <c r="G6" s="1479">
        <f>+'IMP Existente APROBADO'!I8</f>
        <v>8.2319969859183714E-3</v>
      </c>
      <c r="H6" s="1479">
        <f>+'IMP Existente APROBADO'!J8</f>
        <v>0</v>
      </c>
    </row>
    <row r="7" spans="1:9" ht="14.25" x14ac:dyDescent="0.2">
      <c r="A7" s="1477" t="s">
        <v>20</v>
      </c>
      <c r="B7" s="1478" t="s">
        <v>18</v>
      </c>
      <c r="C7" s="1480">
        <f>+'IMP Existente APROBADO'!RRT</f>
        <v>9.6000000000000002E-2</v>
      </c>
      <c r="D7" s="1480">
        <f>+'IMP Existente APROBADO'!RRT</f>
        <v>9.6000000000000002E-2</v>
      </c>
      <c r="E7" s="1480">
        <f>+'IMP Existente APROBADO'!RRT</f>
        <v>9.6000000000000002E-2</v>
      </c>
      <c r="F7" s="1480">
        <f>+'IMP Existente APROBADO'!RRT</f>
        <v>9.6000000000000002E-2</v>
      </c>
      <c r="G7" s="1480">
        <f>+'IMP Existente APROBADO'!RRT</f>
        <v>9.6000000000000002E-2</v>
      </c>
      <c r="H7" s="1480">
        <f>+'IMP Existente APROBADO'!RRT</f>
        <v>9.6000000000000002E-2</v>
      </c>
    </row>
    <row r="8" spans="1:9" ht="15" thickBot="1" x14ac:dyDescent="0.25">
      <c r="A8" s="1481" t="s">
        <v>21</v>
      </c>
      <c r="B8" s="1482" t="s">
        <v>18</v>
      </c>
      <c r="C8" s="1483">
        <f>+'IMP Existente APROBADO'!$D$10</f>
        <v>3.2314329354868353E-2</v>
      </c>
      <c r="D8" s="1483">
        <f>+'IMP Existente APROBADO'!$D$10</f>
        <v>3.2314329354868353E-2</v>
      </c>
      <c r="E8" s="1483">
        <f>+'IMP Existente APROBADO'!$D$10</f>
        <v>3.2314329354868353E-2</v>
      </c>
      <c r="F8" s="1483">
        <f>+'IMP Existente APROBADO'!$D$10</f>
        <v>3.2314329354868353E-2</v>
      </c>
      <c r="G8" s="1483">
        <f>+'IMP Existente APROBADO'!$D$10</f>
        <v>3.2314329354868353E-2</v>
      </c>
      <c r="H8" s="1483">
        <f>+'IMP Existente APROBADO'!$D$10</f>
        <v>3.2314329354868353E-2</v>
      </c>
    </row>
    <row r="12" spans="1:9" ht="15" x14ac:dyDescent="0.25">
      <c r="A12" s="1487" t="s">
        <v>15</v>
      </c>
      <c r="B12" s="1488" t="s">
        <v>16</v>
      </c>
      <c r="C12" s="1488" t="s">
        <v>1040</v>
      </c>
    </row>
    <row r="13" spans="1:9" ht="14.25" x14ac:dyDescent="0.2">
      <c r="A13" s="1484" t="s">
        <v>17</v>
      </c>
      <c r="B13" s="1478" t="s">
        <v>18</v>
      </c>
      <c r="C13" s="1479">
        <f>+C5</f>
        <v>1.7463481823484322E-2</v>
      </c>
    </row>
    <row r="14" spans="1:9" ht="14.25" x14ac:dyDescent="0.2">
      <c r="A14" s="1484" t="s">
        <v>19</v>
      </c>
      <c r="B14" s="1478" t="s">
        <v>18</v>
      </c>
      <c r="C14" s="1479">
        <f>+C6</f>
        <v>8.2319969859183714E-3</v>
      </c>
    </row>
    <row r="15" spans="1:9" ht="14.25" x14ac:dyDescent="0.2">
      <c r="A15" s="1484" t="s">
        <v>20</v>
      </c>
      <c r="B15" s="1478" t="s">
        <v>18</v>
      </c>
      <c r="C15" s="1485">
        <f>+C7</f>
        <v>9.6000000000000002E-2</v>
      </c>
    </row>
    <row r="16" spans="1:9" ht="14.25" x14ac:dyDescent="0.2">
      <c r="A16" s="1484" t="s">
        <v>21</v>
      </c>
      <c r="B16" s="1478" t="s">
        <v>18</v>
      </c>
      <c r="C16" s="1486">
        <f>+C8</f>
        <v>3.2314329354868353E-2</v>
      </c>
      <c r="I16" s="2"/>
    </row>
  </sheetData>
  <mergeCells count="3">
    <mergeCell ref="A3:H3"/>
    <mergeCell ref="A1:H1"/>
    <mergeCell ref="A2:H2"/>
  </mergeCells>
  <phoneticPr fontId="0" type="noConversion"/>
  <printOptions horizontalCentered="1" verticalCentered="1"/>
  <pageMargins left="0.75" right="0.75" top="1" bottom="0.53" header="0" footer="1.03"/>
  <pageSetup scale="125" orientation="landscape" horizontalDpi="300" verticalDpi="300" r:id="rId1"/>
  <headerFooter alignWithMargins="0">
    <oddFooter>&amp;LGerencia de Planificación/DAP/MRN Arcihvo: &amp;F, Hoja&amp;A&amp;R&amp;D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19E66-3690-4CBF-89A4-667155B3A2A0}">
  <dimension ref="A1:Q66"/>
  <sheetViews>
    <sheetView topLeftCell="H1" workbookViewId="0">
      <selection activeCell="T24" sqref="T24"/>
    </sheetView>
  </sheetViews>
  <sheetFormatPr baseColWidth="10" defaultRowHeight="12.75" x14ac:dyDescent="0.2"/>
  <cols>
    <col min="1" max="1" width="54.28515625" bestFit="1" customWidth="1"/>
    <col min="10" max="10" width="47.28515625" bestFit="1" customWidth="1"/>
    <col min="16" max="16" width="11.28515625" bestFit="1" customWidth="1"/>
  </cols>
  <sheetData>
    <row r="1" spans="1:17" ht="15" x14ac:dyDescent="0.25">
      <c r="A1" s="1802" t="s">
        <v>309</v>
      </c>
      <c r="B1" s="1802"/>
      <c r="C1" s="1802"/>
      <c r="D1" s="1802"/>
      <c r="E1" s="1802"/>
      <c r="F1" s="1802"/>
      <c r="G1" s="1802"/>
      <c r="H1" s="1492"/>
      <c r="J1" s="748"/>
      <c r="K1" s="748"/>
      <c r="L1" s="748"/>
      <c r="M1" s="748"/>
      <c r="N1" s="748"/>
      <c r="O1" s="748"/>
      <c r="P1" s="748"/>
      <c r="Q1" s="748"/>
    </row>
    <row r="2" spans="1:17" x14ac:dyDescent="0.2">
      <c r="A2" s="1802" t="s">
        <v>1042</v>
      </c>
      <c r="B2" s="1802"/>
      <c r="C2" s="1802"/>
      <c r="D2" s="1802"/>
      <c r="E2" s="1802"/>
      <c r="F2" s="1802"/>
      <c r="G2" s="1802"/>
      <c r="H2" s="1492"/>
      <c r="J2" s="1802" t="s">
        <v>309</v>
      </c>
      <c r="K2" s="1802"/>
      <c r="L2" s="1802"/>
      <c r="M2" s="1802"/>
      <c r="N2" s="1802"/>
      <c r="O2" s="1802"/>
      <c r="P2" s="1802"/>
      <c r="Q2" s="1802"/>
    </row>
    <row r="3" spans="1:17" ht="13.5" thickBot="1" x14ac:dyDescent="0.25">
      <c r="A3" s="1807" t="s">
        <v>752</v>
      </c>
      <c r="B3" s="1807"/>
      <c r="C3" s="1807"/>
      <c r="D3" s="1807"/>
      <c r="E3" s="1807"/>
      <c r="F3" s="1807"/>
      <c r="G3" s="1807"/>
      <c r="H3" s="1492"/>
      <c r="J3" s="1802" t="s">
        <v>614</v>
      </c>
      <c r="K3" s="1802"/>
      <c r="L3" s="1802"/>
      <c r="M3" s="1802"/>
      <c r="N3" s="1802"/>
      <c r="O3" s="1802"/>
      <c r="P3" s="1802"/>
      <c r="Q3" s="1802"/>
    </row>
    <row r="4" spans="1:17" ht="13.5" thickBot="1" x14ac:dyDescent="0.25">
      <c r="A4" s="1086" t="s">
        <v>381</v>
      </c>
      <c r="B4" s="1105"/>
      <c r="C4" s="1087" t="s">
        <v>382</v>
      </c>
      <c r="D4" s="1087" t="s">
        <v>745</v>
      </c>
      <c r="E4" s="1087" t="s">
        <v>746</v>
      </c>
      <c r="F4" s="1087" t="s">
        <v>747</v>
      </c>
      <c r="G4" s="1087" t="s">
        <v>748</v>
      </c>
      <c r="J4" s="1802" t="s">
        <v>752</v>
      </c>
      <c r="K4" s="1802"/>
      <c r="L4" s="1802"/>
      <c r="M4" s="1802"/>
      <c r="N4" s="1802"/>
      <c r="O4" s="1802"/>
      <c r="P4" s="1802"/>
      <c r="Q4" s="1802"/>
    </row>
    <row r="5" spans="1:17" ht="13.5" thickBot="1" x14ac:dyDescent="0.25">
      <c r="A5" s="1106" t="s">
        <v>749</v>
      </c>
      <c r="B5" s="1107" t="s">
        <v>298</v>
      </c>
      <c r="C5" s="1108">
        <v>171071.19436315564</v>
      </c>
      <c r="D5" s="1108">
        <v>55819.208484096103</v>
      </c>
      <c r="E5" s="1108">
        <v>53695.869722688003</v>
      </c>
      <c r="F5" s="1108">
        <v>52256.953719067715</v>
      </c>
      <c r="G5" s="1108">
        <v>50840.521229912134</v>
      </c>
      <c r="J5" s="746" t="s">
        <v>311</v>
      </c>
      <c r="K5" s="747"/>
      <c r="L5" s="747"/>
      <c r="M5" s="747"/>
      <c r="N5" s="747"/>
      <c r="O5" s="747"/>
      <c r="P5" s="747"/>
      <c r="Q5" s="747"/>
    </row>
    <row r="6" spans="1:17" x14ac:dyDescent="0.2">
      <c r="A6" s="1109" t="s">
        <v>384</v>
      </c>
      <c r="B6" s="1110" t="s">
        <v>298</v>
      </c>
      <c r="C6" s="1111">
        <v>189237.58616187726</v>
      </c>
      <c r="D6" s="1111">
        <v>62034.604491010214</v>
      </c>
      <c r="E6" s="1111">
        <v>59439.412671511425</v>
      </c>
      <c r="F6" s="1111">
        <v>57680.737555975516</v>
      </c>
      <c r="G6" s="1111">
        <v>55949.542291452024</v>
      </c>
      <c r="J6" s="284"/>
      <c r="K6" s="282" t="s">
        <v>16</v>
      </c>
      <c r="L6" s="282">
        <v>2024</v>
      </c>
      <c r="M6" s="282">
        <v>2025</v>
      </c>
      <c r="N6" s="282">
        <v>2026</v>
      </c>
      <c r="O6" s="282">
        <v>2027</v>
      </c>
      <c r="P6" s="282">
        <v>2028</v>
      </c>
      <c r="Q6" s="281">
        <v>2029</v>
      </c>
    </row>
    <row r="7" spans="1:17" x14ac:dyDescent="0.2">
      <c r="A7" s="1109" t="s">
        <v>750</v>
      </c>
      <c r="B7" s="1110" t="s">
        <v>298</v>
      </c>
      <c r="C7" s="1111">
        <v>171071.19436315566</v>
      </c>
      <c r="D7" s="1111">
        <v>53338.451647096663</v>
      </c>
      <c r="E7" s="1111">
        <v>53338.451647096663</v>
      </c>
      <c r="F7" s="1111">
        <v>53338.451647096663</v>
      </c>
      <c r="G7" s="1111">
        <v>53338.451647096663</v>
      </c>
      <c r="J7" s="302" t="s">
        <v>17</v>
      </c>
      <c r="K7" s="278" t="s">
        <v>18</v>
      </c>
      <c r="L7" s="303"/>
      <c r="M7" s="875">
        <v>1.7463481823484322E-2</v>
      </c>
      <c r="N7" s="303">
        <v>1.7463481823484322E-2</v>
      </c>
      <c r="O7" s="303">
        <v>1.7463481823484322E-2</v>
      </c>
      <c r="P7" s="303">
        <v>1.7463481823484322E-2</v>
      </c>
      <c r="Q7" s="305">
        <v>1.7463481823484322E-2</v>
      </c>
    </row>
    <row r="8" spans="1:17" ht="13.5" thickBot="1" x14ac:dyDescent="0.25">
      <c r="A8" s="1112" t="s">
        <v>386</v>
      </c>
      <c r="B8" s="1113" t="s">
        <v>298</v>
      </c>
      <c r="C8" s="1114">
        <v>189237.58616187726</v>
      </c>
      <c r="D8" s="1114">
        <v>59002.568356899785</v>
      </c>
      <c r="E8" s="1114">
        <v>59002.568356899785</v>
      </c>
      <c r="F8" s="1114">
        <v>59002.568356899785</v>
      </c>
      <c r="G8" s="1114">
        <v>59002.568356899785</v>
      </c>
      <c r="J8" s="308" t="s">
        <v>19</v>
      </c>
      <c r="K8" s="275" t="s">
        <v>18</v>
      </c>
      <c r="L8" s="309"/>
      <c r="M8" s="309">
        <v>8.2319969859183714E-3</v>
      </c>
      <c r="N8" s="309">
        <v>8.2319969859183714E-3</v>
      </c>
      <c r="O8" s="309">
        <v>8.2319969859183714E-3</v>
      </c>
      <c r="P8" s="309">
        <v>8.2319969859183714E-3</v>
      </c>
      <c r="Q8" s="311">
        <v>8.2319969859183714E-3</v>
      </c>
    </row>
    <row r="9" spans="1:17" ht="13.5" thickBot="1" x14ac:dyDescent="0.25">
      <c r="A9" s="367"/>
      <c r="B9" s="366"/>
      <c r="C9" s="368"/>
      <c r="D9" s="368"/>
      <c r="E9" s="368"/>
      <c r="F9" s="368"/>
      <c r="G9" s="368"/>
      <c r="J9" s="301"/>
      <c r="K9" s="301"/>
      <c r="L9" s="301"/>
      <c r="M9" s="312"/>
      <c r="N9" s="312"/>
      <c r="O9" s="312"/>
      <c r="P9" s="312"/>
      <c r="Q9" s="312"/>
    </row>
    <row r="10" spans="1:17" ht="13.5" thickBot="1" x14ac:dyDescent="0.25">
      <c r="A10" s="1086" t="s">
        <v>387</v>
      </c>
      <c r="B10" s="1087"/>
      <c r="C10" s="1087"/>
      <c r="D10" s="1087" t="s">
        <v>745</v>
      </c>
      <c r="E10" s="1087" t="s">
        <v>746</v>
      </c>
      <c r="F10" s="1087" t="s">
        <v>747</v>
      </c>
      <c r="G10" s="1087" t="s">
        <v>748</v>
      </c>
      <c r="J10" s="313" t="s">
        <v>312</v>
      </c>
      <c r="K10" s="314" t="s">
        <v>18</v>
      </c>
      <c r="L10" s="315">
        <v>3.2314329354868353E-2</v>
      </c>
      <c r="M10" s="312"/>
      <c r="N10" s="301"/>
      <c r="O10" s="1803" t="s">
        <v>733</v>
      </c>
      <c r="P10" s="1804"/>
      <c r="Q10" s="1176">
        <v>0.45</v>
      </c>
    </row>
    <row r="11" spans="1:17" ht="13.5" thickBot="1" x14ac:dyDescent="0.25">
      <c r="A11" s="1115" t="s">
        <v>751</v>
      </c>
      <c r="B11" s="1107" t="s">
        <v>298</v>
      </c>
      <c r="C11" s="1108"/>
      <c r="D11" s="1108">
        <v>55819.208484096103</v>
      </c>
      <c r="E11" s="1108">
        <v>53695.869722688003</v>
      </c>
      <c r="F11" s="1108">
        <v>52256.953719067715</v>
      </c>
      <c r="G11" s="1108">
        <v>50840.521229912134</v>
      </c>
      <c r="J11" s="317" t="s">
        <v>20</v>
      </c>
      <c r="K11" s="318" t="s">
        <v>18</v>
      </c>
      <c r="L11" s="319">
        <v>9.4600000000000004E-2</v>
      </c>
      <c r="M11" s="312"/>
      <c r="N11" s="301"/>
      <c r="O11" s="1803" t="s">
        <v>734</v>
      </c>
      <c r="P11" s="1804"/>
      <c r="Q11" s="1176">
        <v>0.55000000000000004</v>
      </c>
    </row>
    <row r="12" spans="1:17" x14ac:dyDescent="0.2">
      <c r="A12" s="1116" t="s">
        <v>725</v>
      </c>
      <c r="B12" s="1110" t="s">
        <v>298</v>
      </c>
      <c r="C12" s="1091"/>
      <c r="D12" s="1117">
        <v>62034.604491010214</v>
      </c>
      <c r="E12" s="1117">
        <v>59439.412671511425</v>
      </c>
      <c r="F12" s="1117">
        <v>57680.737555975516</v>
      </c>
      <c r="G12" s="1117">
        <v>55949.542291452024</v>
      </c>
      <c r="J12" s="320"/>
      <c r="K12" s="301"/>
      <c r="L12" s="301"/>
      <c r="M12" s="301"/>
      <c r="N12" s="301"/>
      <c r="O12" s="301"/>
      <c r="P12" s="301"/>
      <c r="Q12" s="301"/>
    </row>
    <row r="13" spans="1:17" x14ac:dyDescent="0.2">
      <c r="A13" s="1116" t="s">
        <v>301</v>
      </c>
      <c r="B13" s="1110" t="s">
        <v>298</v>
      </c>
      <c r="C13" s="1091"/>
      <c r="D13" s="1117">
        <v>13358.001662692583</v>
      </c>
      <c r="E13" s="1117">
        <v>14007.977034350068</v>
      </c>
      <c r="F13" s="1117">
        <v>14158.879894282352</v>
      </c>
      <c r="G13" s="1117">
        <v>14301.990105427963</v>
      </c>
      <c r="J13" s="746" t="s">
        <v>313</v>
      </c>
      <c r="K13" s="747"/>
      <c r="L13" s="747"/>
      <c r="M13" s="747"/>
      <c r="N13" s="747"/>
      <c r="O13" s="747"/>
      <c r="P13" s="747"/>
      <c r="Q13" s="747"/>
    </row>
    <row r="14" spans="1:17" ht="13.5" thickBot="1" x14ac:dyDescent="0.25">
      <c r="A14" s="1116" t="s">
        <v>726</v>
      </c>
      <c r="B14" s="1110" t="s">
        <v>298</v>
      </c>
      <c r="C14" s="1091"/>
      <c r="D14" s="1117">
        <v>8887.0646727084822</v>
      </c>
      <c r="E14" s="1117">
        <v>10743.945290059135</v>
      </c>
      <c r="F14" s="1117">
        <v>11513.397345886764</v>
      </c>
      <c r="G14" s="1117">
        <v>10114.149224495974</v>
      </c>
      <c r="J14" s="301" t="s">
        <v>314</v>
      </c>
      <c r="K14" s="301"/>
      <c r="L14" s="301"/>
      <c r="M14" s="301"/>
      <c r="N14" s="301"/>
      <c r="O14" s="301"/>
      <c r="P14" s="301" t="s">
        <v>735</v>
      </c>
      <c r="Q14" s="1177">
        <v>0.99401142120075814</v>
      </c>
    </row>
    <row r="15" spans="1:17" ht="13.5" thickBot="1" x14ac:dyDescent="0.25">
      <c r="A15" s="1096" t="s">
        <v>396</v>
      </c>
      <c r="B15" s="1118" t="s">
        <v>298</v>
      </c>
      <c r="C15" s="1096"/>
      <c r="D15" s="1098">
        <v>140098.87931050739</v>
      </c>
      <c r="E15" s="1098">
        <v>137887.20471860864</v>
      </c>
      <c r="F15" s="1098">
        <v>135609.96851521236</v>
      </c>
      <c r="G15" s="1098">
        <v>131206.20285128808</v>
      </c>
      <c r="J15" s="284" t="s">
        <v>303</v>
      </c>
      <c r="K15" s="282" t="s">
        <v>16</v>
      </c>
      <c r="L15" s="282">
        <v>2024</v>
      </c>
      <c r="M15" s="282">
        <v>2025</v>
      </c>
      <c r="N15" s="282">
        <v>2026</v>
      </c>
      <c r="O15" s="282">
        <v>2027</v>
      </c>
      <c r="P15" s="282">
        <v>2028</v>
      </c>
      <c r="Q15" s="281">
        <v>2029</v>
      </c>
    </row>
    <row r="16" spans="1:17" ht="13.5" thickBot="1" x14ac:dyDescent="0.25">
      <c r="A16" s="1086" t="s">
        <v>397</v>
      </c>
      <c r="B16" s="1086"/>
      <c r="C16" s="1086"/>
      <c r="D16" s="1086" t="s">
        <v>745</v>
      </c>
      <c r="E16" s="1086" t="s">
        <v>746</v>
      </c>
      <c r="F16" s="1086" t="s">
        <v>747</v>
      </c>
      <c r="G16" s="1086" t="s">
        <v>748</v>
      </c>
      <c r="J16" s="286" t="s">
        <v>736</v>
      </c>
      <c r="K16" s="278" t="s">
        <v>298</v>
      </c>
      <c r="L16" s="322">
        <v>1065516.6106159308</v>
      </c>
      <c r="M16" s="322">
        <v>1065516.6106159308</v>
      </c>
      <c r="N16" s="322">
        <v>1065516.6106159308</v>
      </c>
      <c r="O16" s="322">
        <v>1065516.6106159308</v>
      </c>
      <c r="P16" s="322">
        <v>1065516.6106159308</v>
      </c>
      <c r="Q16" s="323">
        <v>1065516.6106159308</v>
      </c>
    </row>
    <row r="17" spans="1:17" ht="13.5" thickBot="1" x14ac:dyDescent="0.25">
      <c r="A17" s="328"/>
      <c r="B17" s="417"/>
      <c r="C17" s="417"/>
      <c r="D17" s="1119">
        <v>0.95581155853466582</v>
      </c>
      <c r="E17" s="1120">
        <v>0.87320624751933651</v>
      </c>
      <c r="F17" s="1120">
        <v>0.79774003975820984</v>
      </c>
      <c r="G17" s="1121">
        <v>0.72879594350284105</v>
      </c>
      <c r="J17" s="286" t="s">
        <v>302</v>
      </c>
      <c r="K17" s="278" t="s">
        <v>298</v>
      </c>
      <c r="L17" s="322">
        <v>105121.33922418537</v>
      </c>
      <c r="M17" s="322">
        <v>117733.25518458066</v>
      </c>
      <c r="N17" s="322">
        <v>117733.25518458066</v>
      </c>
      <c r="O17" s="322">
        <v>122831.59542855894</v>
      </c>
      <c r="P17" s="322">
        <v>122831.59542855894</v>
      </c>
      <c r="Q17" s="323">
        <v>122831.59542855894</v>
      </c>
    </row>
    <row r="18" spans="1:17" ht="13.5" thickBot="1" x14ac:dyDescent="0.25">
      <c r="A18" s="367"/>
      <c r="B18" s="366"/>
      <c r="C18" s="366"/>
      <c r="D18" s="368"/>
      <c r="E18" s="420"/>
      <c r="F18" s="368"/>
      <c r="G18" s="368"/>
      <c r="J18" s="286" t="s">
        <v>737</v>
      </c>
      <c r="K18" s="278" t="s">
        <v>298</v>
      </c>
      <c r="L18" s="322">
        <v>545450.81088195357</v>
      </c>
      <c r="M18" s="322">
        <v>509527.63549889496</v>
      </c>
      <c r="N18" s="322">
        <v>476425.63440177933</v>
      </c>
      <c r="O18" s="322">
        <v>443469.73848550994</v>
      </c>
      <c r="P18" s="322">
        <v>410513.8425692406</v>
      </c>
      <c r="Q18" s="323">
        <v>377557.94665297121</v>
      </c>
    </row>
    <row r="19" spans="1:17" ht="13.5" thickBot="1" x14ac:dyDescent="0.25">
      <c r="A19" s="1086" t="s">
        <v>398</v>
      </c>
      <c r="B19" s="1087"/>
      <c r="C19" s="1087" t="s">
        <v>297</v>
      </c>
      <c r="D19" s="1087" t="s">
        <v>745</v>
      </c>
      <c r="E19" s="1087" t="s">
        <v>746</v>
      </c>
      <c r="F19" s="1087" t="s">
        <v>747</v>
      </c>
      <c r="G19" s="1087" t="s">
        <v>748</v>
      </c>
      <c r="J19" s="328" t="s">
        <v>320</v>
      </c>
      <c r="K19" s="329" t="s">
        <v>298</v>
      </c>
      <c r="L19" s="343">
        <v>77832.07122599482</v>
      </c>
      <c r="M19" s="343">
        <v>88158.227589182061</v>
      </c>
      <c r="N19" s="343">
        <v>85636.873134725902</v>
      </c>
      <c r="O19" s="343">
        <v>88213.858924248008</v>
      </c>
      <c r="P19" s="343">
        <v>85527.755023984762</v>
      </c>
      <c r="Q19" s="1178">
        <v>82841.651123721487</v>
      </c>
    </row>
    <row r="20" spans="1:17" x14ac:dyDescent="0.2">
      <c r="A20" s="1116" t="s">
        <v>724</v>
      </c>
      <c r="B20" s="1110" t="s">
        <v>298</v>
      </c>
      <c r="C20" s="1117">
        <v>178980.04354061297</v>
      </c>
      <c r="D20" s="1117">
        <v>53352.64465735534</v>
      </c>
      <c r="E20" s="1117">
        <v>46887.56890783555</v>
      </c>
      <c r="F20" s="1117">
        <v>41687.464337492012</v>
      </c>
      <c r="G20" s="1117">
        <v>37052.365637930037</v>
      </c>
      <c r="J20" s="301"/>
      <c r="K20" s="348"/>
      <c r="L20" s="333"/>
      <c r="M20" s="333"/>
      <c r="N20" s="333"/>
      <c r="O20" s="333"/>
      <c r="P20" s="333"/>
      <c r="Q20" s="333"/>
    </row>
    <row r="21" spans="1:17" x14ac:dyDescent="0.2">
      <c r="A21" s="1116" t="s">
        <v>725</v>
      </c>
      <c r="B21" s="1110" t="s">
        <v>298</v>
      </c>
      <c r="C21" s="1117">
        <v>197986.29182931551</v>
      </c>
      <c r="D21" s="1117">
        <v>59293.392001634049</v>
      </c>
      <c r="E21" s="1117">
        <v>51902.866493643793</v>
      </c>
      <c r="F21" s="1117">
        <v>46014.233871186778</v>
      </c>
      <c r="G21" s="1117">
        <v>40775.799462850882</v>
      </c>
      <c r="J21" s="746" t="s">
        <v>339</v>
      </c>
      <c r="K21" s="747"/>
      <c r="L21" s="747"/>
      <c r="M21" s="747"/>
      <c r="N21" s="747"/>
      <c r="O21" s="747"/>
      <c r="P21" s="747"/>
      <c r="Q21" s="747"/>
    </row>
    <row r="22" spans="1:17" ht="13.5" thickBot="1" x14ac:dyDescent="0.25">
      <c r="A22" s="1122" t="s">
        <v>301</v>
      </c>
      <c r="B22" s="1123" t="s">
        <v>298</v>
      </c>
      <c r="C22" s="1124">
        <v>46717.923232278918</v>
      </c>
      <c r="D22" s="1124">
        <v>12767.732388126855</v>
      </c>
      <c r="E22" s="1124">
        <v>12231.853061501866</v>
      </c>
      <c r="F22" s="1124">
        <v>11295.105409796523</v>
      </c>
      <c r="G22" s="1124">
        <v>10423.23237285367</v>
      </c>
      <c r="J22" s="301" t="s">
        <v>314</v>
      </c>
      <c r="K22" s="301"/>
      <c r="L22" s="301"/>
      <c r="M22" s="301"/>
      <c r="N22" s="301"/>
      <c r="O22" s="301"/>
      <c r="P22" s="301"/>
      <c r="Q22" s="301"/>
    </row>
    <row r="23" spans="1:17" ht="13.5" thickBot="1" x14ac:dyDescent="0.25">
      <c r="A23" s="1116" t="s">
        <v>727</v>
      </c>
      <c r="B23" s="1110" t="s">
        <v>298</v>
      </c>
      <c r="C23" s="1117">
        <v>34431.888269160292</v>
      </c>
      <c r="D23" s="1117">
        <v>8494.3591356198649</v>
      </c>
      <c r="E23" s="1117">
        <v>9381.6801502855869</v>
      </c>
      <c r="F23" s="1117">
        <v>9184.6980564597743</v>
      </c>
      <c r="G23" s="1117">
        <v>7371.1509267950714</v>
      </c>
      <c r="J23" s="334" t="s">
        <v>340</v>
      </c>
      <c r="K23" s="282" t="s">
        <v>16</v>
      </c>
      <c r="L23" s="282">
        <v>2024</v>
      </c>
      <c r="M23" s="282">
        <v>2025</v>
      </c>
      <c r="N23" s="282">
        <v>2026</v>
      </c>
      <c r="O23" s="282">
        <v>2027</v>
      </c>
      <c r="P23" s="282">
        <v>2028</v>
      </c>
      <c r="Q23" s="281">
        <v>2029</v>
      </c>
    </row>
    <row r="24" spans="1:17" ht="13.5" thickBot="1" x14ac:dyDescent="0.25">
      <c r="A24" s="1125" t="s">
        <v>396</v>
      </c>
      <c r="B24" s="1126" t="s">
        <v>298</v>
      </c>
      <c r="C24" s="1127">
        <v>458116.14687136764</v>
      </c>
      <c r="D24" s="1127">
        <v>133908.12818273611</v>
      </c>
      <c r="E24" s="1127">
        <v>120403.96861326678</v>
      </c>
      <c r="F24" s="1127">
        <v>108181.50167493509</v>
      </c>
      <c r="G24" s="1127">
        <v>95622.548400429674</v>
      </c>
      <c r="J24" s="286" t="s">
        <v>738</v>
      </c>
      <c r="K24" s="278" t="s">
        <v>298</v>
      </c>
      <c r="L24" s="322">
        <v>1540528.4742865805</v>
      </c>
      <c r="M24" s="322">
        <v>1540528.4742865805</v>
      </c>
      <c r="N24" s="354">
        <v>1540528.4742865805</v>
      </c>
      <c r="O24" s="322">
        <v>1540528.4742865805</v>
      </c>
      <c r="P24" s="322">
        <v>1540528.4742865805</v>
      </c>
      <c r="Q24" s="355">
        <v>1540528.4742865805</v>
      </c>
    </row>
    <row r="25" spans="1:17" ht="13.5" thickBot="1" x14ac:dyDescent="0.25">
      <c r="J25" s="342" t="s">
        <v>343</v>
      </c>
      <c r="K25" s="275" t="s">
        <v>298</v>
      </c>
      <c r="L25" s="357">
        <v>204700.88983535423</v>
      </c>
      <c r="M25" s="357">
        <v>217388.78827535425</v>
      </c>
      <c r="N25" s="358">
        <v>217388.78827535425</v>
      </c>
      <c r="O25" s="357">
        <v>222517.84427535423</v>
      </c>
      <c r="P25" s="357">
        <v>222517.84427535423</v>
      </c>
      <c r="Q25" s="359">
        <v>222517.84427535423</v>
      </c>
    </row>
    <row r="26" spans="1:17" x14ac:dyDescent="0.2">
      <c r="J26" s="320"/>
      <c r="K26" s="348"/>
      <c r="L26" s="354"/>
      <c r="M26" s="354"/>
      <c r="N26" s="354"/>
      <c r="O26" s="354"/>
      <c r="P26" s="354"/>
      <c r="Q26" s="354"/>
    </row>
    <row r="27" spans="1:17" x14ac:dyDescent="0.2">
      <c r="J27" s="746" t="s">
        <v>353</v>
      </c>
      <c r="K27" s="747"/>
      <c r="L27" s="747"/>
      <c r="M27" s="747"/>
      <c r="N27" s="747"/>
      <c r="O27" s="747"/>
      <c r="P27" s="747"/>
      <c r="Q27" s="747"/>
    </row>
    <row r="28" spans="1:17" x14ac:dyDescent="0.2">
      <c r="J28" s="301" t="s">
        <v>314</v>
      </c>
      <c r="K28" s="301"/>
      <c r="L28" s="301"/>
      <c r="M28" s="301"/>
      <c r="N28" s="301"/>
      <c r="O28" s="301"/>
      <c r="P28" s="301"/>
      <c r="Q28" s="301"/>
    </row>
    <row r="29" spans="1:17" ht="13.5" thickBot="1" x14ac:dyDescent="0.25">
      <c r="J29" s="300"/>
      <c r="K29" s="301"/>
      <c r="L29" s="301"/>
      <c r="M29" s="301"/>
      <c r="N29" s="301"/>
      <c r="O29" s="301"/>
      <c r="P29" s="301"/>
      <c r="Q29" s="301"/>
    </row>
    <row r="30" spans="1:17" ht="13.5" thickBot="1" x14ac:dyDescent="0.25">
      <c r="J30" s="1086" t="s">
        <v>739</v>
      </c>
      <c r="K30" s="1087"/>
      <c r="L30" s="1087"/>
      <c r="M30" s="1087">
        <v>2025</v>
      </c>
      <c r="N30" s="1087">
        <v>2026</v>
      </c>
      <c r="O30" s="1087">
        <v>2027</v>
      </c>
      <c r="P30" s="1087">
        <v>2028</v>
      </c>
      <c r="Q30" s="1087">
        <v>2029</v>
      </c>
    </row>
    <row r="31" spans="1:17" x14ac:dyDescent="0.2">
      <c r="J31" s="1088" t="s">
        <v>300</v>
      </c>
      <c r="K31" s="1089" t="s">
        <v>298</v>
      </c>
      <c r="L31" s="1088"/>
      <c r="M31" s="1090">
        <v>26902.991009263733</v>
      </c>
      <c r="N31" s="1090">
        <v>26902.991009263733</v>
      </c>
      <c r="O31" s="1090">
        <v>26902.991009263733</v>
      </c>
      <c r="P31" s="1090">
        <v>26902.991009263733</v>
      </c>
      <c r="Q31" s="1090">
        <v>26902.991009263733</v>
      </c>
    </row>
    <row r="32" spans="1:17" x14ac:dyDescent="0.2">
      <c r="J32" s="1091" t="s">
        <v>299</v>
      </c>
      <c r="K32" s="1092" t="s">
        <v>298</v>
      </c>
      <c r="L32" s="1091"/>
      <c r="M32" s="1093">
        <v>12681.625757048558</v>
      </c>
      <c r="N32" s="1093">
        <v>12681.625757048558</v>
      </c>
      <c r="O32" s="1093">
        <v>12681.625757048558</v>
      </c>
      <c r="P32" s="1093">
        <v>12681.625757048558</v>
      </c>
      <c r="Q32" s="1093">
        <v>12681.625757048558</v>
      </c>
    </row>
    <row r="33" spans="10:17" x14ac:dyDescent="0.2">
      <c r="J33" s="1091" t="s">
        <v>355</v>
      </c>
      <c r="K33" s="1092" t="s">
        <v>298</v>
      </c>
      <c r="L33" s="1091"/>
      <c r="M33" s="1093">
        <v>35923.175383058668</v>
      </c>
      <c r="N33" s="1093">
        <v>33102.001097115572</v>
      </c>
      <c r="O33" s="1093">
        <v>32955.895916269394</v>
      </c>
      <c r="P33" s="1093">
        <v>32955.895916269394</v>
      </c>
      <c r="Q33" s="1093">
        <v>32955.895916269394</v>
      </c>
    </row>
    <row r="34" spans="10:17" x14ac:dyDescent="0.2">
      <c r="J34" s="1091" t="s">
        <v>356</v>
      </c>
      <c r="K34" s="1092" t="s">
        <v>298</v>
      </c>
      <c r="L34" s="1091"/>
      <c r="M34" s="1093">
        <v>51599.646709432811</v>
      </c>
      <c r="N34" s="1093">
        <v>48201.314318195466</v>
      </c>
      <c r="O34" s="1093">
        <v>45069.865014408329</v>
      </c>
      <c r="P34" s="1093">
        <v>41952.237260729242</v>
      </c>
      <c r="Q34" s="1093">
        <v>38834.609507050161</v>
      </c>
    </row>
    <row r="35" spans="10:17" ht="13.5" thickBot="1" x14ac:dyDescent="0.25">
      <c r="J35" s="1094" t="s">
        <v>358</v>
      </c>
      <c r="K35" s="1095" t="s">
        <v>298</v>
      </c>
      <c r="L35" s="1094"/>
      <c r="M35" s="1093">
        <v>15</v>
      </c>
      <c r="N35" s="1093">
        <v>75</v>
      </c>
      <c r="O35" s="1093">
        <v>75</v>
      </c>
      <c r="P35" s="1093">
        <v>75</v>
      </c>
      <c r="Q35" s="1093">
        <v>15</v>
      </c>
    </row>
    <row r="36" spans="10:17" ht="13.5" thickBot="1" x14ac:dyDescent="0.25">
      <c r="J36" s="1096" t="s">
        <v>360</v>
      </c>
      <c r="K36" s="1097"/>
      <c r="L36" s="1097"/>
      <c r="M36" s="1098">
        <v>127122.43885880377</v>
      </c>
      <c r="N36" s="1098">
        <v>120962.93218162333</v>
      </c>
      <c r="O36" s="1098">
        <v>117685.37769699001</v>
      </c>
      <c r="P36" s="1098">
        <v>114567.74994331092</v>
      </c>
      <c r="Q36" s="1098">
        <v>111390.12218963185</v>
      </c>
    </row>
    <row r="37" spans="10:17" ht="13.5" thickBot="1" x14ac:dyDescent="0.25">
      <c r="J37" s="367"/>
      <c r="K37" s="366"/>
      <c r="L37" s="366"/>
      <c r="M37" s="368"/>
      <c r="N37" s="368"/>
      <c r="O37" s="368"/>
      <c r="P37" s="368"/>
      <c r="Q37" s="368"/>
    </row>
    <row r="38" spans="10:17" ht="13.5" thickBot="1" x14ac:dyDescent="0.25">
      <c r="J38" s="1086" t="s">
        <v>740</v>
      </c>
      <c r="K38" s="1087"/>
      <c r="L38" s="1087"/>
      <c r="M38" s="1087">
        <v>2025</v>
      </c>
      <c r="N38" s="1087">
        <v>2026</v>
      </c>
      <c r="O38" s="1087">
        <v>2027</v>
      </c>
      <c r="P38" s="1087">
        <v>2028</v>
      </c>
      <c r="Q38" s="1087">
        <v>2029</v>
      </c>
    </row>
    <row r="39" spans="10:17" x14ac:dyDescent="0.2">
      <c r="J39" s="1088" t="s">
        <v>300</v>
      </c>
      <c r="K39" s="1089" t="s">
        <v>298</v>
      </c>
      <c r="L39" s="1088"/>
      <c r="M39" s="1090">
        <v>12106.345954168681</v>
      </c>
      <c r="N39" s="1090">
        <v>12106.345954168681</v>
      </c>
      <c r="O39" s="1090">
        <v>12106.345954168681</v>
      </c>
      <c r="P39" s="1090">
        <v>12106.345954168681</v>
      </c>
      <c r="Q39" s="1090">
        <v>12106.345954168681</v>
      </c>
    </row>
    <row r="40" spans="10:17" x14ac:dyDescent="0.2">
      <c r="J40" s="1091" t="s">
        <v>299</v>
      </c>
      <c r="K40" s="1092" t="s">
        <v>298</v>
      </c>
      <c r="L40" s="1091"/>
      <c r="M40" s="1093">
        <v>5706.7315906718513</v>
      </c>
      <c r="N40" s="1093">
        <v>5706.7315906718513</v>
      </c>
      <c r="O40" s="1093">
        <v>5706.7315906718513</v>
      </c>
      <c r="P40" s="1093">
        <v>5706.7315906718513</v>
      </c>
      <c r="Q40" s="1093">
        <v>5706.7315906718513</v>
      </c>
    </row>
    <row r="41" spans="10:17" x14ac:dyDescent="0.2">
      <c r="J41" s="1091" t="s">
        <v>355</v>
      </c>
      <c r="K41" s="1092" t="s">
        <v>298</v>
      </c>
      <c r="L41" s="1091"/>
      <c r="M41" s="1093">
        <v>16165.428922376401</v>
      </c>
      <c r="N41" s="1093">
        <v>14895.900493702007</v>
      </c>
      <c r="O41" s="1093">
        <v>14830.153162321227</v>
      </c>
      <c r="P41" s="1093">
        <v>14830.153162321227</v>
      </c>
      <c r="Q41" s="1093">
        <v>14830.153162321227</v>
      </c>
    </row>
    <row r="42" spans="10:17" x14ac:dyDescent="0.2">
      <c r="J42" s="1091" t="s">
        <v>356</v>
      </c>
      <c r="K42" s="1092" t="s">
        <v>298</v>
      </c>
      <c r="L42" s="1091"/>
      <c r="M42" s="1093">
        <v>23219.841019244766</v>
      </c>
      <c r="N42" s="1093">
        <v>21690.591443187961</v>
      </c>
      <c r="O42" s="1093">
        <v>20281.439256483747</v>
      </c>
      <c r="P42" s="1093">
        <v>18878.506767328159</v>
      </c>
      <c r="Q42" s="1093">
        <v>17475.574278172575</v>
      </c>
    </row>
    <row r="43" spans="10:17" ht="13.5" thickBot="1" x14ac:dyDescent="0.25">
      <c r="J43" s="1091" t="s">
        <v>358</v>
      </c>
      <c r="K43" s="1092" t="s">
        <v>298</v>
      </c>
      <c r="L43" s="1091"/>
      <c r="M43" s="1099">
        <v>6.75</v>
      </c>
      <c r="N43" s="1099">
        <v>33.75</v>
      </c>
      <c r="O43" s="1099">
        <v>33.75</v>
      </c>
      <c r="P43" s="1099">
        <v>33.75</v>
      </c>
      <c r="Q43" s="1099">
        <v>6.75</v>
      </c>
    </row>
    <row r="44" spans="10:17" ht="13.5" thickBot="1" x14ac:dyDescent="0.25">
      <c r="J44" s="1096" t="s">
        <v>360</v>
      </c>
      <c r="K44" s="1096"/>
      <c r="L44" s="1096"/>
      <c r="M44" s="1098">
        <v>57205.097486461702</v>
      </c>
      <c r="N44" s="1098">
        <v>54433.319481730505</v>
      </c>
      <c r="O44" s="1098">
        <v>52958.419963645509</v>
      </c>
      <c r="P44" s="1098">
        <v>51555.487474489921</v>
      </c>
      <c r="Q44" s="1098">
        <v>50125.55498533434</v>
      </c>
    </row>
    <row r="45" spans="10:17" ht="13.5" thickBot="1" x14ac:dyDescent="0.25">
      <c r="J45" s="367"/>
      <c r="K45" s="366"/>
      <c r="L45" s="366"/>
      <c r="M45" s="368"/>
      <c r="N45" s="368"/>
      <c r="O45" s="368"/>
      <c r="P45" s="368"/>
      <c r="Q45" s="368"/>
    </row>
    <row r="46" spans="10:17" ht="13.5" thickBot="1" x14ac:dyDescent="0.25">
      <c r="J46" s="1179" t="s">
        <v>741</v>
      </c>
      <c r="K46" s="1180"/>
      <c r="L46" s="1180"/>
      <c r="M46" s="1180">
        <v>2025</v>
      </c>
      <c r="N46" s="1180">
        <v>2026</v>
      </c>
      <c r="O46" s="1180">
        <v>2027</v>
      </c>
      <c r="P46" s="1180">
        <v>2028</v>
      </c>
      <c r="Q46" s="1180">
        <v>2029</v>
      </c>
    </row>
    <row r="47" spans="10:17" x14ac:dyDescent="0.2">
      <c r="J47" s="1088" t="s">
        <v>300</v>
      </c>
      <c r="K47" s="1089" t="s">
        <v>298</v>
      </c>
      <c r="L47" s="1088"/>
      <c r="M47" s="1181">
        <v>14796.645055095054</v>
      </c>
      <c r="N47" s="1090">
        <v>14796.645055095054</v>
      </c>
      <c r="O47" s="1090">
        <v>14796.645055095054</v>
      </c>
      <c r="P47" s="1090">
        <v>14796.645055095054</v>
      </c>
      <c r="Q47" s="1090">
        <v>14796.645055095054</v>
      </c>
    </row>
    <row r="48" spans="10:17" x14ac:dyDescent="0.2">
      <c r="J48" s="1091" t="s">
        <v>299</v>
      </c>
      <c r="K48" s="1092" t="s">
        <v>298</v>
      </c>
      <c r="L48" s="1091"/>
      <c r="M48" s="1093">
        <v>6974.8941663767073</v>
      </c>
      <c r="N48" s="1093">
        <v>6974.8941663767073</v>
      </c>
      <c r="O48" s="1093">
        <v>6974.8941663767073</v>
      </c>
      <c r="P48" s="1093">
        <v>6974.8941663767073</v>
      </c>
      <c r="Q48" s="1093">
        <v>6974.8941663767073</v>
      </c>
    </row>
    <row r="49" spans="10:17" x14ac:dyDescent="0.2">
      <c r="J49" s="1091" t="s">
        <v>355</v>
      </c>
      <c r="K49" s="1092" t="s">
        <v>298</v>
      </c>
      <c r="L49" s="1091"/>
      <c r="M49" s="1093">
        <v>19757.746460682269</v>
      </c>
      <c r="N49" s="1093">
        <v>18206.100603413564</v>
      </c>
      <c r="O49" s="1093">
        <v>18125.742753948169</v>
      </c>
      <c r="P49" s="1093">
        <v>18125.742753948169</v>
      </c>
      <c r="Q49" s="1093">
        <v>18125.742753948169</v>
      </c>
    </row>
    <row r="50" spans="10:17" x14ac:dyDescent="0.2">
      <c r="J50" s="1091" t="s">
        <v>356</v>
      </c>
      <c r="K50" s="1092" t="s">
        <v>298</v>
      </c>
      <c r="L50" s="1091"/>
      <c r="M50" s="1093">
        <v>28379.805690188048</v>
      </c>
      <c r="N50" s="1093">
        <v>26510.722875007508</v>
      </c>
      <c r="O50" s="1093">
        <v>24788.425757924582</v>
      </c>
      <c r="P50" s="1093">
        <v>23073.730493401086</v>
      </c>
      <c r="Q50" s="1093">
        <v>21359.03522887759</v>
      </c>
    </row>
    <row r="51" spans="10:17" x14ac:dyDescent="0.2">
      <c r="J51" s="1094" t="s">
        <v>358</v>
      </c>
      <c r="K51" s="1095" t="s">
        <v>298</v>
      </c>
      <c r="L51" s="1094"/>
      <c r="M51" s="1093">
        <v>8.25</v>
      </c>
      <c r="N51" s="1093">
        <v>41.25</v>
      </c>
      <c r="O51" s="1093">
        <v>41.25</v>
      </c>
      <c r="P51" s="1093">
        <v>41.25</v>
      </c>
      <c r="Q51" s="1093">
        <v>8.25</v>
      </c>
    </row>
    <row r="52" spans="10:17" ht="13.5" thickBot="1" x14ac:dyDescent="0.25">
      <c r="J52" s="1182" t="s">
        <v>362</v>
      </c>
      <c r="K52" s="1183" t="s">
        <v>298</v>
      </c>
      <c r="L52" s="1182"/>
      <c r="M52" s="1103">
        <v>-6188.872545107246</v>
      </c>
      <c r="N52" s="1103">
        <v>-6188.872545107246</v>
      </c>
      <c r="O52" s="1103">
        <v>-6188.872545107246</v>
      </c>
      <c r="P52" s="1103">
        <v>-6188.872545107246</v>
      </c>
      <c r="Q52" s="1103">
        <v>-6188.872545107246</v>
      </c>
    </row>
    <row r="53" spans="10:17" ht="13.5" thickBot="1" x14ac:dyDescent="0.25">
      <c r="J53" s="1096" t="s">
        <v>360</v>
      </c>
      <c r="K53" s="1097"/>
      <c r="L53" s="1097"/>
      <c r="M53" s="1098">
        <v>63728.468827234836</v>
      </c>
      <c r="N53" s="1098">
        <v>60340.740154785592</v>
      </c>
      <c r="O53" s="1098">
        <v>58538.085188237266</v>
      </c>
      <c r="P53" s="1098">
        <v>56823.389923713774</v>
      </c>
      <c r="Q53" s="1098">
        <v>55075.694659190274</v>
      </c>
    </row>
    <row r="54" spans="10:17" ht="13.5" thickBot="1" x14ac:dyDescent="0.25">
      <c r="J54" s="367"/>
      <c r="K54" s="366"/>
      <c r="L54" s="366"/>
      <c r="M54" s="368"/>
      <c r="N54" s="368"/>
      <c r="O54" s="368"/>
      <c r="P54" s="368"/>
      <c r="Q54" s="368"/>
    </row>
    <row r="55" spans="10:17" ht="13.5" thickBot="1" x14ac:dyDescent="0.25">
      <c r="J55" s="1086" t="s">
        <v>742</v>
      </c>
      <c r="K55" s="1087"/>
      <c r="L55" s="1087"/>
      <c r="M55" s="1087">
        <v>2025</v>
      </c>
      <c r="N55" s="1087">
        <v>2026</v>
      </c>
      <c r="O55" s="1087">
        <v>2027</v>
      </c>
      <c r="P55" s="1087">
        <v>2028</v>
      </c>
      <c r="Q55" s="1087">
        <v>2029</v>
      </c>
    </row>
    <row r="56" spans="10:17" x14ac:dyDescent="0.2">
      <c r="J56" s="1088" t="s">
        <v>300</v>
      </c>
      <c r="K56" s="1089" t="s">
        <v>298</v>
      </c>
      <c r="L56" s="1088"/>
      <c r="M56" s="1090">
        <v>3574.7902688907752</v>
      </c>
      <c r="N56" s="1090">
        <v>3796.3651526759304</v>
      </c>
      <c r="O56" s="1090">
        <v>3796.3651526759304</v>
      </c>
      <c r="P56" s="1090">
        <v>3885.9363289035637</v>
      </c>
      <c r="Q56" s="1090">
        <v>3885.9363289035637</v>
      </c>
    </row>
    <row r="57" spans="10:17" x14ac:dyDescent="0.2">
      <c r="J57" s="1091" t="s">
        <v>299</v>
      </c>
      <c r="K57" s="1092" t="s">
        <v>298</v>
      </c>
      <c r="L57" s="1091"/>
      <c r="M57" s="1093">
        <v>1685.0971081394446</v>
      </c>
      <c r="N57" s="1093">
        <v>1789.5438498551632</v>
      </c>
      <c r="O57" s="1093">
        <v>1789.5438498551632</v>
      </c>
      <c r="P57" s="1093">
        <v>1831.7662233877695</v>
      </c>
      <c r="Q57" s="1093">
        <v>1831.7662233877695</v>
      </c>
    </row>
    <row r="58" spans="10:17" x14ac:dyDescent="0.2">
      <c r="J58" s="1091" t="s">
        <v>355</v>
      </c>
      <c r="K58" s="1092" t="s">
        <v>298</v>
      </c>
      <c r="L58" s="1091"/>
      <c r="M58" s="1093">
        <v>2285.7595972080348</v>
      </c>
      <c r="N58" s="1093">
        <v>2521.3544544561678</v>
      </c>
      <c r="O58" s="1093">
        <v>2521.3544544561678</v>
      </c>
      <c r="P58" s="1093">
        <v>2686.1039002632615</v>
      </c>
      <c r="Q58" s="1093">
        <v>2686.1039002632615</v>
      </c>
    </row>
    <row r="59" spans="10:17" x14ac:dyDescent="0.2">
      <c r="J59" s="1091" t="s">
        <v>356</v>
      </c>
      <c r="K59" s="1092" t="s">
        <v>298</v>
      </c>
      <c r="L59" s="1091"/>
      <c r="M59" s="1093">
        <v>7362.9139379791104</v>
      </c>
      <c r="N59" s="1093">
        <v>8339.7683299366236</v>
      </c>
      <c r="O59" s="1093">
        <v>8101.2481985450704</v>
      </c>
      <c r="P59" s="1093">
        <v>8345.0310542338611</v>
      </c>
      <c r="Q59" s="1093">
        <v>8090.9256252689593</v>
      </c>
    </row>
    <row r="60" spans="10:17" ht="13.5" thickBot="1" x14ac:dyDescent="0.25">
      <c r="J60" s="1100" t="s">
        <v>743</v>
      </c>
      <c r="K60" s="1092" t="s">
        <v>298</v>
      </c>
      <c r="L60" s="1100"/>
      <c r="M60" s="1101">
        <v>-2319.7946868780414</v>
      </c>
      <c r="N60" s="1101">
        <v>-2319.7946868780414</v>
      </c>
      <c r="O60" s="1101">
        <v>-2319.7946868780414</v>
      </c>
      <c r="P60" s="1102">
        <v>-2319.7946868780414</v>
      </c>
      <c r="Q60" s="1103">
        <v>-2319.7946868780414</v>
      </c>
    </row>
    <row r="61" spans="10:17" ht="13.5" thickBot="1" x14ac:dyDescent="0.25">
      <c r="J61" s="1096" t="s">
        <v>360</v>
      </c>
      <c r="K61" s="1096"/>
      <c r="L61" s="1096"/>
      <c r="M61" s="1098">
        <v>12588.766225339323</v>
      </c>
      <c r="N61" s="1098">
        <v>14127.237100045844</v>
      </c>
      <c r="O61" s="1098">
        <v>13888.716968654289</v>
      </c>
      <c r="P61" s="1098">
        <v>14429.042819910414</v>
      </c>
      <c r="Q61" s="1098">
        <v>14174.937390945513</v>
      </c>
    </row>
    <row r="62" spans="10:17" ht="13.5" thickBot="1" x14ac:dyDescent="0.25">
      <c r="J62" s="367"/>
      <c r="K62" s="366"/>
      <c r="L62" s="366"/>
      <c r="M62" s="368"/>
      <c r="N62" s="368"/>
      <c r="O62" s="368"/>
      <c r="P62" s="368"/>
      <c r="Q62" s="368"/>
    </row>
    <row r="63" spans="10:17" ht="13.5" thickBot="1" x14ac:dyDescent="0.25">
      <c r="J63" s="1086" t="s">
        <v>744</v>
      </c>
      <c r="K63" s="1087"/>
      <c r="L63" s="1087"/>
      <c r="M63" s="1087">
        <v>2025</v>
      </c>
      <c r="N63" s="1087">
        <v>2026</v>
      </c>
      <c r="O63" s="1087">
        <v>2027</v>
      </c>
      <c r="P63" s="1087">
        <v>2028</v>
      </c>
      <c r="Q63" s="1087">
        <v>2029</v>
      </c>
    </row>
    <row r="64" spans="10:17" ht="13.5" thickBot="1" x14ac:dyDescent="0.25">
      <c r="J64" s="1088" t="s">
        <v>379</v>
      </c>
      <c r="K64" s="1089" t="s">
        <v>298</v>
      </c>
      <c r="L64" s="1088"/>
      <c r="M64" s="1184">
        <v>7723.1264646624304</v>
      </c>
      <c r="N64" s="1184">
        <v>9945.1023735361105</v>
      </c>
      <c r="O64" s="1184">
        <v>11389.698067972951</v>
      </c>
      <c r="P64" s="1184">
        <v>11495.618130191368</v>
      </c>
      <c r="Q64" s="1184">
        <v>4352.440427247986</v>
      </c>
    </row>
    <row r="65" spans="10:17" ht="13.5" thickBot="1" x14ac:dyDescent="0.25">
      <c r="J65" s="1104" t="s">
        <v>360</v>
      </c>
      <c r="K65" s="1096"/>
      <c r="L65" s="1096"/>
      <c r="M65" s="1185">
        <v>7723.1264646624304</v>
      </c>
      <c r="N65" s="1185">
        <v>9945.1023735361105</v>
      </c>
      <c r="O65" s="1185">
        <v>11389.698067972951</v>
      </c>
      <c r="P65" s="1185">
        <v>11495.618130191368</v>
      </c>
      <c r="Q65" s="1185">
        <v>4352.440427247986</v>
      </c>
    </row>
    <row r="66" spans="10:17" ht="13.5" thickBot="1" x14ac:dyDescent="0.25">
      <c r="J66" s="1493" t="s">
        <v>360</v>
      </c>
      <c r="K66" s="1494"/>
      <c r="L66" s="1494"/>
      <c r="M66" s="1495">
        <f>M36+M44+M53+M61+M65</f>
        <v>268367.89786250202</v>
      </c>
      <c r="N66" s="1495">
        <f t="shared" ref="N66:Q66" si="0">N36+N44+N53+N61+N65</f>
        <v>259809.33129172138</v>
      </c>
      <c r="O66" s="1495">
        <f t="shared" si="0"/>
        <v>254460.29788550004</v>
      </c>
      <c r="P66" s="1495">
        <f t="shared" si="0"/>
        <v>248871.28829161642</v>
      </c>
      <c r="Q66" s="1495">
        <f t="shared" si="0"/>
        <v>235118.74965234997</v>
      </c>
    </row>
  </sheetData>
  <mergeCells count="8">
    <mergeCell ref="J4:Q4"/>
    <mergeCell ref="O10:P10"/>
    <mergeCell ref="O11:P11"/>
    <mergeCell ref="A1:G1"/>
    <mergeCell ref="A2:G2"/>
    <mergeCell ref="A3:G3"/>
    <mergeCell ref="J2:Q2"/>
    <mergeCell ref="J3:Q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XFD286"/>
  <sheetViews>
    <sheetView topLeftCell="A46" workbookViewId="0">
      <selection activeCell="E166" sqref="E166"/>
    </sheetView>
  </sheetViews>
  <sheetFormatPr baseColWidth="10" defaultColWidth="11.42578125" defaultRowHeight="12.75" outlineLevelRow="2" outlineLevelCol="1" x14ac:dyDescent="0.2"/>
  <cols>
    <col min="1" max="1" width="3.5703125" style="528" customWidth="1" collapsed="1"/>
    <col min="2" max="2" width="69" style="528" customWidth="1" collapsed="1"/>
    <col min="3" max="3" width="17.28515625" style="528" customWidth="1" outlineLevel="1" collapsed="1"/>
    <col min="4" max="4" width="16.7109375" style="528" customWidth="1"/>
    <col min="5" max="8" width="16.7109375" style="528" customWidth="1" collapsed="1"/>
    <col min="9" max="9" width="12.7109375" style="528" customWidth="1" collapsed="1"/>
    <col min="10" max="10" width="14.42578125" style="528" bestFit="1" customWidth="1" collapsed="1"/>
    <col min="11" max="16384" width="11.42578125" style="528" collapsed="1"/>
  </cols>
  <sheetData>
    <row r="1" spans="2:8" hidden="1" x14ac:dyDescent="0.2"/>
    <row r="2" spans="2:8" hidden="1" x14ac:dyDescent="0.2"/>
    <row r="3" spans="2:8" hidden="1" x14ac:dyDescent="0.2"/>
    <row r="4" spans="2:8" hidden="1" x14ac:dyDescent="0.2"/>
    <row r="5" spans="2:8" hidden="1" x14ac:dyDescent="0.2"/>
    <row r="6" spans="2:8" s="530" customFormat="1" x14ac:dyDescent="0.2">
      <c r="B6" s="529" t="s">
        <v>417</v>
      </c>
    </row>
    <row r="7" spans="2:8" x14ac:dyDescent="0.2">
      <c r="B7" s="539" t="s">
        <v>215</v>
      </c>
      <c r="C7" s="540"/>
      <c r="D7" s="540"/>
      <c r="E7" s="540"/>
      <c r="F7" s="540"/>
      <c r="G7" s="540"/>
      <c r="H7" s="540"/>
    </row>
    <row r="9" spans="2:8" x14ac:dyDescent="0.2">
      <c r="B9" s="541" t="s">
        <v>418</v>
      </c>
      <c r="C9" s="529">
        <v>2016</v>
      </c>
      <c r="D9" s="529">
        <v>2017</v>
      </c>
      <c r="E9" s="529">
        <v>2018</v>
      </c>
      <c r="F9" s="529">
        <v>2019</v>
      </c>
      <c r="G9" s="529">
        <v>2020</v>
      </c>
      <c r="H9" s="529">
        <v>2021</v>
      </c>
    </row>
    <row r="10" spans="2:8" x14ac:dyDescent="0.2">
      <c r="B10" s="528" t="s">
        <v>419</v>
      </c>
      <c r="C10" s="542">
        <v>3.4838098558625408E-2</v>
      </c>
      <c r="D10" s="542">
        <v>3.4838098558625408E-2</v>
      </c>
      <c r="E10" s="542">
        <v>3.4838098558625408E-2</v>
      </c>
      <c r="F10" s="542">
        <v>3.4838098558625408E-2</v>
      </c>
      <c r="G10" s="542">
        <v>3.4838098558625408E-2</v>
      </c>
      <c r="H10" s="542">
        <v>3.4838098558625408E-2</v>
      </c>
    </row>
    <row r="11" spans="2:8" x14ac:dyDescent="0.2">
      <c r="B11" s="528" t="s">
        <v>420</v>
      </c>
      <c r="C11" s="543"/>
      <c r="D11" s="544">
        <v>367674767.96403384</v>
      </c>
      <c r="E11" s="544">
        <v>367674767.96403384</v>
      </c>
      <c r="F11" s="544">
        <v>367674767.96403384</v>
      </c>
      <c r="G11" s="544">
        <v>367674767.96403384</v>
      </c>
      <c r="H11" s="544">
        <v>367674767.96403384</v>
      </c>
    </row>
    <row r="12" spans="2:8" x14ac:dyDescent="0.2">
      <c r="B12" s="528" t="s">
        <v>421</v>
      </c>
      <c r="C12" s="543"/>
      <c r="D12" s="544"/>
      <c r="E12" s="544"/>
      <c r="F12" s="544"/>
      <c r="G12" s="544"/>
      <c r="H12" s="544"/>
    </row>
    <row r="13" spans="2:8" x14ac:dyDescent="0.2">
      <c r="B13" s="528" t="s">
        <v>422</v>
      </c>
      <c r="C13" s="545"/>
      <c r="D13" s="544">
        <v>-12809089.803850738</v>
      </c>
      <c r="E13" s="544">
        <v>-12809089.803850738</v>
      </c>
      <c r="F13" s="544">
        <v>-12809089.803850738</v>
      </c>
      <c r="G13" s="544">
        <v>-12809089.803850738</v>
      </c>
      <c r="H13" s="544">
        <v>-12809089.803850738</v>
      </c>
    </row>
    <row r="14" spans="2:8" x14ac:dyDescent="0.2">
      <c r="B14" s="528" t="s">
        <v>423</v>
      </c>
      <c r="C14" s="546">
        <v>367674767.96403384</v>
      </c>
      <c r="D14" s="544">
        <v>367674767.96403384</v>
      </c>
      <c r="E14" s="544">
        <v>367674767.96403384</v>
      </c>
      <c r="F14" s="544">
        <v>367674767.96403384</v>
      </c>
      <c r="G14" s="544">
        <v>367674767.96403384</v>
      </c>
      <c r="H14" s="544">
        <v>367674767.96403384</v>
      </c>
    </row>
    <row r="15" spans="2:8" x14ac:dyDescent="0.2">
      <c r="B15" s="528" t="s">
        <v>424</v>
      </c>
      <c r="C15" s="546">
        <v>195204624.1240339</v>
      </c>
      <c r="D15" s="544">
        <v>182395534.32018313</v>
      </c>
      <c r="E15" s="544">
        <v>169586444.51633239</v>
      </c>
      <c r="F15" s="544">
        <v>156777354.71248165</v>
      </c>
      <c r="G15" s="544">
        <v>143968264.90863091</v>
      </c>
      <c r="H15" s="544">
        <v>131159175.10478017</v>
      </c>
    </row>
    <row r="16" spans="2:8" x14ac:dyDescent="0.2">
      <c r="B16" s="528" t="s">
        <v>425</v>
      </c>
      <c r="C16" s="546">
        <v>-172470143.84</v>
      </c>
      <c r="D16" s="544">
        <v>-185279233.64385074</v>
      </c>
      <c r="E16" s="544">
        <v>-198088323.44770148</v>
      </c>
      <c r="F16" s="544">
        <v>-210897413.25155222</v>
      </c>
      <c r="G16" s="544">
        <v>-223706503.05540296</v>
      </c>
      <c r="H16" s="544">
        <v>-236515592.8592537</v>
      </c>
    </row>
    <row r="17" spans="2:10" x14ac:dyDescent="0.2">
      <c r="B17" s="528" t="s">
        <v>426</v>
      </c>
      <c r="C17" s="544">
        <v>195204625</v>
      </c>
      <c r="D17" s="544">
        <v>182395535</v>
      </c>
      <c r="E17" s="544">
        <v>169586445</v>
      </c>
      <c r="F17" s="544">
        <v>156777355</v>
      </c>
      <c r="G17" s="544">
        <v>143968265</v>
      </c>
      <c r="H17" s="544">
        <v>131159176</v>
      </c>
    </row>
    <row r="18" spans="2:10" x14ac:dyDescent="0.2">
      <c r="C18" s="544"/>
      <c r="D18" s="544"/>
      <c r="E18" s="544"/>
      <c r="F18" s="544"/>
      <c r="G18" s="544"/>
      <c r="H18" s="544"/>
    </row>
    <row r="19" spans="2:10" outlineLevel="2" x14ac:dyDescent="0.2">
      <c r="B19" s="541" t="s">
        <v>427</v>
      </c>
      <c r="C19" s="529">
        <v>2016</v>
      </c>
      <c r="D19" s="529">
        <v>2017</v>
      </c>
      <c r="E19" s="529">
        <v>2018</v>
      </c>
      <c r="F19" s="529">
        <v>2019</v>
      </c>
      <c r="G19" s="529">
        <v>2020</v>
      </c>
      <c r="H19" s="529">
        <v>2021</v>
      </c>
    </row>
    <row r="20" spans="2:10" outlineLevel="2" x14ac:dyDescent="0.2">
      <c r="B20" s="528" t="s">
        <v>419</v>
      </c>
      <c r="C20" s="547">
        <v>3.4838098558625408E-2</v>
      </c>
      <c r="D20" s="547">
        <v>3.4838098558625408E-2</v>
      </c>
      <c r="E20" s="547">
        <v>3.4838098558625408E-2</v>
      </c>
      <c r="F20" s="547">
        <v>3.4838098558625408E-2</v>
      </c>
      <c r="G20" s="547">
        <v>3.4838098558625408E-2</v>
      </c>
      <c r="H20" s="547">
        <v>3.4838098558625408E-2</v>
      </c>
    </row>
    <row r="21" spans="2:10" outlineLevel="2" x14ac:dyDescent="0.2">
      <c r="B21" s="528" t="s">
        <v>420</v>
      </c>
      <c r="C21" s="544"/>
      <c r="D21" s="544">
        <v>0</v>
      </c>
      <c r="E21" s="544">
        <v>0</v>
      </c>
      <c r="F21" s="544">
        <v>0</v>
      </c>
      <c r="G21" s="544">
        <v>0</v>
      </c>
      <c r="H21" s="544">
        <v>0</v>
      </c>
    </row>
    <row r="22" spans="2:10" outlineLevel="2" x14ac:dyDescent="0.2">
      <c r="B22" s="528" t="s">
        <v>421</v>
      </c>
      <c r="C22" s="544"/>
      <c r="D22" s="544"/>
      <c r="E22" s="544"/>
      <c r="F22" s="544"/>
      <c r="G22" s="544"/>
      <c r="H22" s="544"/>
    </row>
    <row r="23" spans="2:10" outlineLevel="2" x14ac:dyDescent="0.2">
      <c r="B23" s="528" t="s">
        <v>422</v>
      </c>
      <c r="C23" s="544"/>
      <c r="D23" s="544">
        <v>0</v>
      </c>
      <c r="E23" s="544">
        <v>0</v>
      </c>
      <c r="F23" s="544">
        <v>0</v>
      </c>
      <c r="G23" s="544">
        <v>0</v>
      </c>
      <c r="H23" s="544">
        <v>0</v>
      </c>
    </row>
    <row r="24" spans="2:10" outlineLevel="2" x14ac:dyDescent="0.2">
      <c r="B24" s="528" t="s">
        <v>423</v>
      </c>
      <c r="C24" s="546">
        <v>0</v>
      </c>
      <c r="D24" s="544">
        <v>0</v>
      </c>
      <c r="E24" s="544">
        <v>0</v>
      </c>
      <c r="F24" s="544">
        <v>0</v>
      </c>
      <c r="G24" s="544">
        <v>0</v>
      </c>
      <c r="H24" s="544">
        <v>0</v>
      </c>
    </row>
    <row r="25" spans="2:10" outlineLevel="2" x14ac:dyDescent="0.2">
      <c r="B25" s="528" t="s">
        <v>424</v>
      </c>
      <c r="C25" s="544">
        <v>0</v>
      </c>
      <c r="D25" s="544">
        <v>0</v>
      </c>
      <c r="E25" s="544">
        <v>0</v>
      </c>
      <c r="F25" s="544">
        <v>0</v>
      </c>
      <c r="G25" s="544">
        <v>0</v>
      </c>
      <c r="H25" s="544">
        <v>0</v>
      </c>
    </row>
    <row r="26" spans="2:10" outlineLevel="2" x14ac:dyDescent="0.2">
      <c r="B26" s="528" t="s">
        <v>425</v>
      </c>
      <c r="C26" s="544">
        <v>0</v>
      </c>
      <c r="D26" s="544">
        <v>0</v>
      </c>
      <c r="E26" s="544">
        <v>0</v>
      </c>
      <c r="F26" s="544">
        <v>0</v>
      </c>
      <c r="G26" s="544">
        <v>0</v>
      </c>
      <c r="H26" s="544">
        <v>0</v>
      </c>
    </row>
    <row r="27" spans="2:10" outlineLevel="2" x14ac:dyDescent="0.2">
      <c r="B27" s="528" t="s">
        <v>426</v>
      </c>
      <c r="C27" s="544"/>
      <c r="D27" s="544">
        <v>0</v>
      </c>
      <c r="E27" s="544">
        <v>0</v>
      </c>
      <c r="F27" s="544">
        <v>0</v>
      </c>
      <c r="G27" s="544">
        <v>0</v>
      </c>
      <c r="H27" s="544">
        <v>0</v>
      </c>
    </row>
    <row r="28" spans="2:10" outlineLevel="2" x14ac:dyDescent="0.2">
      <c r="C28" s="544"/>
      <c r="D28" s="544"/>
      <c r="E28" s="544"/>
      <c r="F28" s="544"/>
      <c r="G28" s="544"/>
      <c r="H28" s="544"/>
    </row>
    <row r="29" spans="2:10" outlineLevel="1" x14ac:dyDescent="0.2">
      <c r="B29" s="541" t="s">
        <v>428</v>
      </c>
      <c r="C29" s="529">
        <v>2016</v>
      </c>
      <c r="D29" s="529">
        <v>2017</v>
      </c>
      <c r="E29" s="529">
        <v>2018</v>
      </c>
      <c r="F29" s="529">
        <v>2019</v>
      </c>
      <c r="G29" s="529">
        <v>2020</v>
      </c>
      <c r="H29" s="529">
        <v>2021</v>
      </c>
    </row>
    <row r="30" spans="2:10" outlineLevel="1" x14ac:dyDescent="0.2">
      <c r="B30" s="548" t="s">
        <v>429</v>
      </c>
      <c r="C30" s="544"/>
      <c r="D30" s="546">
        <v>345480168</v>
      </c>
      <c r="E30" s="546">
        <v>0</v>
      </c>
      <c r="F30" s="549">
        <v>0</v>
      </c>
      <c r="G30" s="549">
        <v>0</v>
      </c>
      <c r="H30" s="549">
        <v>0</v>
      </c>
      <c r="J30" s="544"/>
    </row>
    <row r="31" spans="2:10" outlineLevel="1" x14ac:dyDescent="0.2">
      <c r="B31" s="528" t="s">
        <v>430</v>
      </c>
      <c r="C31" s="544"/>
      <c r="D31" s="546">
        <v>173114761.68767121</v>
      </c>
      <c r="E31" s="546">
        <v>0</v>
      </c>
      <c r="F31" s="546">
        <v>0</v>
      </c>
      <c r="G31" s="546">
        <v>0</v>
      </c>
      <c r="H31" s="546">
        <v>0</v>
      </c>
      <c r="J31" s="544"/>
    </row>
    <row r="32" spans="2:10" outlineLevel="1" x14ac:dyDescent="0.2">
      <c r="B32" s="548" t="s">
        <v>431</v>
      </c>
      <c r="C32" s="544"/>
      <c r="D32" s="547">
        <v>3.4838098558625408E-2</v>
      </c>
      <c r="E32" s="547">
        <v>3.4838098558625408E-2</v>
      </c>
      <c r="F32" s="547">
        <v>3.4838098558625408E-2</v>
      </c>
      <c r="G32" s="547">
        <v>3.4838098558625408E-2</v>
      </c>
      <c r="H32" s="547">
        <v>3.4838098558625408E-2</v>
      </c>
      <c r="J32" s="544"/>
    </row>
    <row r="33" spans="2:8" outlineLevel="1" x14ac:dyDescent="0.2">
      <c r="B33" s="548" t="s">
        <v>421</v>
      </c>
      <c r="C33" s="544"/>
      <c r="D33" s="544">
        <v>0</v>
      </c>
      <c r="E33" s="544">
        <v>339449178.87037194</v>
      </c>
      <c r="F33" s="544">
        <v>327413306.72753745</v>
      </c>
      <c r="G33" s="544">
        <v>315377434.58470297</v>
      </c>
      <c r="H33" s="544">
        <v>303341562.44186848</v>
      </c>
    </row>
    <row r="34" spans="2:8" outlineLevel="1" x14ac:dyDescent="0.2">
      <c r="B34" s="548" t="s">
        <v>422</v>
      </c>
      <c r="C34" s="544"/>
      <c r="D34" s="544">
        <v>-6030989.1296280399</v>
      </c>
      <c r="E34" s="544">
        <v>-12035872.142834464</v>
      </c>
      <c r="F34" s="544">
        <v>-12035872.142834464</v>
      </c>
      <c r="G34" s="544">
        <v>-12035872.142834464</v>
      </c>
      <c r="H34" s="544">
        <v>-12035872.142834464</v>
      </c>
    </row>
    <row r="35" spans="2:8" outlineLevel="1" x14ac:dyDescent="0.2">
      <c r="B35" s="548" t="s">
        <v>424</v>
      </c>
      <c r="C35" s="544"/>
      <c r="D35" s="544">
        <v>339449178.87037194</v>
      </c>
      <c r="E35" s="544">
        <v>327413306.72753745</v>
      </c>
      <c r="F35" s="544">
        <v>315377434.58470297</v>
      </c>
      <c r="G35" s="544">
        <v>303341562.44186848</v>
      </c>
      <c r="H35" s="544">
        <v>291305690.299034</v>
      </c>
    </row>
    <row r="36" spans="2:8" outlineLevel="1" x14ac:dyDescent="0.2">
      <c r="B36" s="548" t="s">
        <v>423</v>
      </c>
      <c r="C36" s="544"/>
      <c r="D36" s="544">
        <v>345480168</v>
      </c>
      <c r="E36" s="544">
        <v>345480168</v>
      </c>
      <c r="F36" s="544">
        <v>345480168</v>
      </c>
      <c r="G36" s="544">
        <v>345480168</v>
      </c>
      <c r="H36" s="544">
        <v>345480168</v>
      </c>
    </row>
    <row r="37" spans="2:8" outlineLevel="1" x14ac:dyDescent="0.2">
      <c r="C37" s="544"/>
      <c r="D37" s="550"/>
      <c r="E37" s="544"/>
      <c r="F37" s="544"/>
      <c r="G37" s="544"/>
      <c r="H37" s="544"/>
    </row>
    <row r="38" spans="2:8" x14ac:dyDescent="0.2">
      <c r="B38" s="541" t="s">
        <v>432</v>
      </c>
      <c r="C38" s="529">
        <v>2016</v>
      </c>
      <c r="D38" s="529">
        <v>2017</v>
      </c>
      <c r="E38" s="529">
        <v>2018</v>
      </c>
      <c r="F38" s="529">
        <v>2019</v>
      </c>
      <c r="G38" s="529">
        <v>2020</v>
      </c>
      <c r="H38" s="529">
        <v>2021</v>
      </c>
    </row>
    <row r="39" spans="2:8" x14ac:dyDescent="0.2">
      <c r="B39" s="551" t="s">
        <v>419</v>
      </c>
      <c r="C39" s="542">
        <v>5.8382511060031415E-2</v>
      </c>
      <c r="D39" s="542">
        <v>5.8382511060031415E-2</v>
      </c>
      <c r="E39" s="542">
        <v>5.8382511060031415E-2</v>
      </c>
      <c r="F39" s="542">
        <v>5.8382511060031415E-2</v>
      </c>
      <c r="G39" s="542">
        <v>5.8382511060031415E-2</v>
      </c>
      <c r="H39" s="542">
        <v>5.8382511060031415E-2</v>
      </c>
    </row>
    <row r="40" spans="2:8" x14ac:dyDescent="0.2">
      <c r="B40" s="551" t="s">
        <v>433</v>
      </c>
      <c r="C40" s="552">
        <v>0.02</v>
      </c>
      <c r="D40" s="552">
        <v>0.02</v>
      </c>
      <c r="E40" s="552">
        <v>0.02</v>
      </c>
      <c r="F40" s="552">
        <v>0.02</v>
      </c>
      <c r="G40" s="552">
        <v>0.02</v>
      </c>
      <c r="H40" s="552">
        <v>0.02</v>
      </c>
    </row>
    <row r="41" spans="2:8" x14ac:dyDescent="0.2">
      <c r="B41" s="551" t="s">
        <v>420</v>
      </c>
      <c r="C41" s="543"/>
      <c r="D41" s="544">
        <v>45644352</v>
      </c>
      <c r="E41" s="544">
        <v>45644352</v>
      </c>
      <c r="F41" s="544">
        <v>45644352</v>
      </c>
      <c r="G41" s="544">
        <v>45644352</v>
      </c>
      <c r="H41" s="544">
        <v>45644352</v>
      </c>
    </row>
    <row r="42" spans="2:8" x14ac:dyDescent="0.2">
      <c r="B42" s="551" t="s">
        <v>421</v>
      </c>
      <c r="C42" s="543"/>
      <c r="D42" s="544">
        <v>9055342</v>
      </c>
      <c r="E42" s="544">
        <v>6390510.1145320311</v>
      </c>
      <c r="F42" s="544">
        <v>3725678.2290640622</v>
      </c>
      <c r="G42" s="544">
        <v>1060846.3435960934</v>
      </c>
      <c r="H42" s="544">
        <v>-1603985.5418718755</v>
      </c>
    </row>
    <row r="43" spans="2:8" x14ac:dyDescent="0.2">
      <c r="B43" s="551" t="s">
        <v>422</v>
      </c>
      <c r="C43" s="543"/>
      <c r="D43" s="544">
        <v>-2664831.885467967</v>
      </c>
      <c r="E43" s="544">
        <v>-2664831.885467967</v>
      </c>
      <c r="F43" s="544">
        <v>-2664831.885467967</v>
      </c>
      <c r="G43" s="544">
        <v>-2664831.885467967</v>
      </c>
      <c r="H43" s="544">
        <v>-2664831.885467967</v>
      </c>
    </row>
    <row r="44" spans="2:8" x14ac:dyDescent="0.2">
      <c r="B44" s="551" t="s">
        <v>434</v>
      </c>
      <c r="C44" s="543"/>
      <c r="D44" s="544"/>
      <c r="E44" s="544"/>
      <c r="F44" s="544"/>
      <c r="G44" s="544"/>
      <c r="H44" s="544"/>
    </row>
    <row r="45" spans="2:8" x14ac:dyDescent="0.2">
      <c r="B45" s="551" t="s">
        <v>423</v>
      </c>
      <c r="C45" s="544">
        <v>45644352</v>
      </c>
      <c r="D45" s="544">
        <v>45644352</v>
      </c>
      <c r="E45" s="544">
        <v>45644352</v>
      </c>
      <c r="F45" s="544">
        <v>45644352</v>
      </c>
      <c r="G45" s="544">
        <v>45644352</v>
      </c>
      <c r="H45" s="544">
        <v>45644352</v>
      </c>
    </row>
    <row r="46" spans="2:8" x14ac:dyDescent="0.2">
      <c r="B46" s="551" t="s">
        <v>425</v>
      </c>
      <c r="C46" s="544">
        <v>-36589010</v>
      </c>
      <c r="D46" s="544">
        <v>-39253841.885467969</v>
      </c>
      <c r="E46" s="544">
        <v>-41918673.770935938</v>
      </c>
      <c r="F46" s="544">
        <v>-44583505.656403907</v>
      </c>
      <c r="G46" s="544">
        <v>-47248337.541871876</v>
      </c>
      <c r="H46" s="544">
        <v>-49913169.427339844</v>
      </c>
    </row>
    <row r="47" spans="2:8" x14ac:dyDescent="0.2">
      <c r="B47" s="551" t="s">
        <v>424</v>
      </c>
      <c r="C47" s="544">
        <v>9055342</v>
      </c>
      <c r="D47" s="544">
        <v>6390510.1145320311</v>
      </c>
      <c r="E47" s="544">
        <v>3725678.2290640622</v>
      </c>
      <c r="F47" s="544">
        <v>1060846.3435960934</v>
      </c>
      <c r="G47" s="544">
        <v>-1603985.5418718755</v>
      </c>
      <c r="H47" s="544">
        <v>-4268817.4273398444</v>
      </c>
    </row>
    <row r="48" spans="2:8" x14ac:dyDescent="0.2">
      <c r="B48" s="551"/>
      <c r="C48" s="544"/>
      <c r="D48" s="544"/>
      <c r="E48" s="544"/>
      <c r="F48" s="544"/>
      <c r="G48" s="544"/>
      <c r="H48" s="544"/>
    </row>
    <row r="49" spans="2:8" x14ac:dyDescent="0.2">
      <c r="B49" s="541" t="s">
        <v>435</v>
      </c>
      <c r="C49" s="529">
        <v>2016</v>
      </c>
      <c r="D49" s="529">
        <v>2017</v>
      </c>
      <c r="E49" s="529">
        <v>2018</v>
      </c>
      <c r="F49" s="529">
        <v>2019</v>
      </c>
      <c r="G49" s="529">
        <v>2020</v>
      </c>
      <c r="H49" s="529">
        <v>2021</v>
      </c>
    </row>
    <row r="50" spans="2:8" x14ac:dyDescent="0.2">
      <c r="B50" s="551" t="s">
        <v>419</v>
      </c>
      <c r="C50" s="553">
        <v>3.4838098558625408E-2</v>
      </c>
      <c r="D50" s="553">
        <v>3.4838098558625408E-2</v>
      </c>
      <c r="E50" s="553">
        <v>3.4838098558625408E-2</v>
      </c>
      <c r="F50" s="553">
        <v>3.4838098558625408E-2</v>
      </c>
      <c r="G50" s="553">
        <v>3.4838098558625408E-2</v>
      </c>
      <c r="H50" s="553">
        <v>3.4838098558625408E-2</v>
      </c>
    </row>
    <row r="51" spans="2:8" x14ac:dyDescent="0.2">
      <c r="B51" s="551" t="s">
        <v>433</v>
      </c>
      <c r="C51" s="552">
        <v>0.02</v>
      </c>
      <c r="D51" s="552">
        <v>0.02</v>
      </c>
      <c r="E51" s="552">
        <v>0.02</v>
      </c>
      <c r="F51" s="552">
        <v>0.02</v>
      </c>
      <c r="G51" s="552">
        <v>0.02</v>
      </c>
      <c r="H51" s="552">
        <v>0.02</v>
      </c>
    </row>
    <row r="52" spans="2:8" x14ac:dyDescent="0.2">
      <c r="B52" s="551" t="s">
        <v>420</v>
      </c>
      <c r="C52" s="543"/>
      <c r="D52" s="544">
        <v>0</v>
      </c>
      <c r="E52" s="544">
        <v>0</v>
      </c>
      <c r="F52" s="544">
        <v>0</v>
      </c>
      <c r="G52" s="544">
        <v>0</v>
      </c>
      <c r="H52" s="544">
        <v>0</v>
      </c>
    </row>
    <row r="53" spans="2:8" x14ac:dyDescent="0.2">
      <c r="B53" s="551" t="s">
        <v>421</v>
      </c>
      <c r="C53" s="543"/>
      <c r="D53" s="544">
        <v>0</v>
      </c>
      <c r="E53" s="544">
        <v>0</v>
      </c>
      <c r="F53" s="544">
        <v>0</v>
      </c>
      <c r="G53" s="544">
        <v>0</v>
      </c>
      <c r="H53" s="544">
        <v>0</v>
      </c>
    </row>
    <row r="54" spans="2:8" x14ac:dyDescent="0.2">
      <c r="B54" s="551" t="s">
        <v>422</v>
      </c>
      <c r="C54" s="543"/>
      <c r="D54" s="544">
        <v>0</v>
      </c>
      <c r="E54" s="544">
        <v>0</v>
      </c>
      <c r="F54" s="544">
        <v>0</v>
      </c>
      <c r="G54" s="544">
        <v>0</v>
      </c>
      <c r="H54" s="544">
        <v>0</v>
      </c>
    </row>
    <row r="55" spans="2:8" x14ac:dyDescent="0.2">
      <c r="B55" s="551" t="s">
        <v>434</v>
      </c>
      <c r="C55" s="543"/>
      <c r="D55" s="544"/>
      <c r="E55" s="544"/>
      <c r="F55" s="544"/>
      <c r="G55" s="544"/>
      <c r="H55" s="544"/>
    </row>
    <row r="56" spans="2:8" x14ac:dyDescent="0.2">
      <c r="B56" s="551" t="s">
        <v>423</v>
      </c>
      <c r="C56" s="544"/>
      <c r="D56" s="544">
        <v>0</v>
      </c>
      <c r="E56" s="544">
        <v>0</v>
      </c>
      <c r="F56" s="544">
        <v>0</v>
      </c>
      <c r="G56" s="544">
        <v>0</v>
      </c>
      <c r="H56" s="544">
        <v>0</v>
      </c>
    </row>
    <row r="57" spans="2:8" x14ac:dyDescent="0.2">
      <c r="B57" s="551" t="s">
        <v>425</v>
      </c>
      <c r="C57" s="544"/>
      <c r="D57" s="544">
        <v>0</v>
      </c>
      <c r="E57" s="544">
        <v>0</v>
      </c>
      <c r="F57" s="544">
        <v>0</v>
      </c>
      <c r="G57" s="544">
        <v>0</v>
      </c>
      <c r="H57" s="544">
        <v>0</v>
      </c>
    </row>
    <row r="58" spans="2:8" x14ac:dyDescent="0.2">
      <c r="B58" s="551" t="s">
        <v>424</v>
      </c>
      <c r="C58" s="544"/>
      <c r="D58" s="544">
        <v>0</v>
      </c>
      <c r="E58" s="544">
        <v>0</v>
      </c>
      <c r="F58" s="544">
        <v>0</v>
      </c>
      <c r="G58" s="544">
        <v>0</v>
      </c>
      <c r="H58" s="544">
        <v>0</v>
      </c>
    </row>
    <row r="59" spans="2:8" x14ac:dyDescent="0.2">
      <c r="B59" s="554" t="s">
        <v>436</v>
      </c>
      <c r="C59" s="544"/>
      <c r="D59" s="544"/>
      <c r="E59" s="544"/>
      <c r="F59" s="544"/>
      <c r="G59" s="544"/>
      <c r="H59" s="544"/>
    </row>
    <row r="60" spans="2:8" x14ac:dyDescent="0.2">
      <c r="B60" s="551"/>
      <c r="C60" s="544"/>
      <c r="D60" s="544"/>
      <c r="E60" s="544"/>
      <c r="F60" s="544"/>
      <c r="G60" s="544"/>
      <c r="H60" s="544"/>
    </row>
    <row r="61" spans="2:8" x14ac:dyDescent="0.2">
      <c r="B61" s="541" t="s">
        <v>437</v>
      </c>
      <c r="C61" s="529">
        <v>2016</v>
      </c>
      <c r="D61" s="529">
        <v>2017</v>
      </c>
      <c r="E61" s="529">
        <v>2018</v>
      </c>
      <c r="F61" s="529">
        <v>2019</v>
      </c>
      <c r="G61" s="529">
        <v>2020</v>
      </c>
      <c r="H61" s="529">
        <v>2021</v>
      </c>
    </row>
    <row r="62" spans="2:8" x14ac:dyDescent="0.2">
      <c r="B62" s="528" t="s">
        <v>424</v>
      </c>
      <c r="C62" s="544">
        <v>204259966.1240339</v>
      </c>
      <c r="D62" s="544">
        <v>188786044.43471515</v>
      </c>
      <c r="E62" s="544">
        <v>173312122.74539644</v>
      </c>
      <c r="F62" s="544">
        <v>157838201.05607775</v>
      </c>
      <c r="G62" s="544">
        <v>142364279.36675903</v>
      </c>
      <c r="H62" s="544">
        <v>126890357.67744032</v>
      </c>
    </row>
    <row r="63" spans="2:8" x14ac:dyDescent="0.2">
      <c r="B63" s="528" t="s">
        <v>422</v>
      </c>
      <c r="C63" s="544">
        <v>0</v>
      </c>
      <c r="D63" s="544">
        <v>-15473921.689318705</v>
      </c>
      <c r="E63" s="544">
        <v>-15473921.689318705</v>
      </c>
      <c r="F63" s="544">
        <v>-15473921.689318705</v>
      </c>
      <c r="G63" s="544">
        <v>-15473921.689318705</v>
      </c>
      <c r="H63" s="544">
        <v>-15473921.689318705</v>
      </c>
    </row>
    <row r="64" spans="2:8" x14ac:dyDescent="0.2">
      <c r="B64" s="528" t="s">
        <v>423</v>
      </c>
      <c r="C64" s="544">
        <v>413319119.96403384</v>
      </c>
      <c r="D64" s="544">
        <v>413319119.96403384</v>
      </c>
      <c r="E64" s="544">
        <v>413319119.96403384</v>
      </c>
      <c r="F64" s="544">
        <v>413319119.96403384</v>
      </c>
      <c r="G64" s="544">
        <v>413319119.96403384</v>
      </c>
      <c r="H64" s="544">
        <v>413319119.96403384</v>
      </c>
    </row>
    <row r="65" spans="2:8" x14ac:dyDescent="0.2">
      <c r="B65" s="541" t="s">
        <v>438</v>
      </c>
      <c r="C65" s="529">
        <v>2016</v>
      </c>
      <c r="D65" s="529">
        <v>2017</v>
      </c>
      <c r="E65" s="529">
        <v>2018</v>
      </c>
      <c r="F65" s="529">
        <v>2019</v>
      </c>
      <c r="G65" s="529">
        <v>2020</v>
      </c>
      <c r="H65" s="529">
        <v>2021</v>
      </c>
    </row>
    <row r="66" spans="2:8" x14ac:dyDescent="0.2">
      <c r="B66" s="528" t="s">
        <v>424</v>
      </c>
      <c r="C66" s="544">
        <v>0</v>
      </c>
      <c r="D66" s="544">
        <v>339449178.87037194</v>
      </c>
      <c r="E66" s="544">
        <v>327413306.72753745</v>
      </c>
      <c r="F66" s="544">
        <v>315377434.58470297</v>
      </c>
      <c r="G66" s="544">
        <v>303341562.44186848</v>
      </c>
      <c r="H66" s="544">
        <v>291305690.299034</v>
      </c>
    </row>
    <row r="67" spans="2:8" x14ac:dyDescent="0.2">
      <c r="B67" s="528" t="s">
        <v>422</v>
      </c>
      <c r="C67" s="544">
        <v>0</v>
      </c>
      <c r="D67" s="544">
        <v>-6030989.1296280399</v>
      </c>
      <c r="E67" s="544">
        <v>-12035872.142834464</v>
      </c>
      <c r="F67" s="544">
        <v>-12035872.142834464</v>
      </c>
      <c r="G67" s="544">
        <v>-12035872.142834464</v>
      </c>
      <c r="H67" s="544">
        <v>-12035872.142834464</v>
      </c>
    </row>
    <row r="68" spans="2:8" x14ac:dyDescent="0.2">
      <c r="B68" s="528" t="s">
        <v>423</v>
      </c>
      <c r="C68" s="544">
        <v>0</v>
      </c>
      <c r="D68" s="544">
        <v>345480168</v>
      </c>
      <c r="E68" s="544">
        <v>345480168</v>
      </c>
      <c r="F68" s="544">
        <v>345480168</v>
      </c>
      <c r="G68" s="544">
        <v>345480168</v>
      </c>
      <c r="H68" s="544">
        <v>345480168</v>
      </c>
    </row>
    <row r="69" spans="2:8" x14ac:dyDescent="0.2">
      <c r="B69" s="528" t="s">
        <v>430</v>
      </c>
      <c r="C69" s="544">
        <v>0</v>
      </c>
      <c r="D69" s="544">
        <v>173114761.68767121</v>
      </c>
      <c r="E69" s="544">
        <v>0</v>
      </c>
      <c r="F69" s="544">
        <v>0</v>
      </c>
      <c r="G69" s="544">
        <v>0</v>
      </c>
      <c r="H69" s="544">
        <v>0</v>
      </c>
    </row>
    <row r="70" spans="2:8" x14ac:dyDescent="0.2">
      <c r="C70" s="544"/>
      <c r="D70" s="544"/>
      <c r="E70" s="544"/>
      <c r="F70" s="544"/>
      <c r="G70" s="544"/>
      <c r="H70" s="544"/>
    </row>
    <row r="71" spans="2:8" s="530" customFormat="1" hidden="1" x14ac:dyDescent="0.2">
      <c r="B71" s="529" t="s">
        <v>439</v>
      </c>
    </row>
    <row r="72" spans="2:8" hidden="1" x14ac:dyDescent="0.2">
      <c r="C72" s="544"/>
      <c r="D72" s="544"/>
      <c r="E72" s="544"/>
      <c r="F72" s="544"/>
      <c r="G72" s="544"/>
      <c r="H72" s="544"/>
    </row>
    <row r="73" spans="2:8" hidden="1" x14ac:dyDescent="0.2">
      <c r="B73" s="555" t="s">
        <v>440</v>
      </c>
      <c r="C73" s="556">
        <v>3.5000000000000003E-2</v>
      </c>
    </row>
    <row r="74" spans="2:8" hidden="1" x14ac:dyDescent="0.2">
      <c r="B74" s="557" t="s">
        <v>441</v>
      </c>
    </row>
    <row r="75" spans="2:8" hidden="1" x14ac:dyDescent="0.2">
      <c r="B75" s="558" t="s">
        <v>442</v>
      </c>
      <c r="C75" s="559">
        <v>0.7</v>
      </c>
    </row>
    <row r="76" spans="2:8" hidden="1" x14ac:dyDescent="0.2">
      <c r="B76" s="558" t="s">
        <v>443</v>
      </c>
      <c r="C76" s="560">
        <v>0.30000000000000004</v>
      </c>
    </row>
    <row r="77" spans="2:8" hidden="1" x14ac:dyDescent="0.2"/>
    <row r="78" spans="2:8" hidden="1" x14ac:dyDescent="0.2">
      <c r="B78" s="561"/>
      <c r="C78" s="562">
        <v>2016</v>
      </c>
      <c r="D78" s="562">
        <v>2017</v>
      </c>
      <c r="E78" s="562">
        <v>2018</v>
      </c>
      <c r="F78" s="562">
        <v>2019</v>
      </c>
      <c r="G78" s="562">
        <v>2020</v>
      </c>
      <c r="H78" s="562">
        <v>2021</v>
      </c>
    </row>
    <row r="79" spans="2:8" hidden="1" x14ac:dyDescent="0.2">
      <c r="B79" s="563" t="s">
        <v>444</v>
      </c>
      <c r="C79" s="543"/>
      <c r="D79" s="546">
        <v>1892000</v>
      </c>
      <c r="E79" s="546">
        <v>95586000</v>
      </c>
      <c r="F79" s="546">
        <v>239222000</v>
      </c>
      <c r="G79" s="546">
        <v>99604000</v>
      </c>
      <c r="H79" s="546">
        <v>764000</v>
      </c>
    </row>
    <row r="80" spans="2:8" hidden="1" x14ac:dyDescent="0.2">
      <c r="B80" s="563" t="s">
        <v>445</v>
      </c>
      <c r="C80" s="543"/>
      <c r="D80" s="546">
        <v>0</v>
      </c>
      <c r="E80" s="546">
        <v>49000</v>
      </c>
      <c r="F80" s="546">
        <v>88000</v>
      </c>
      <c r="G80" s="546">
        <v>612000</v>
      </c>
      <c r="H80" s="546">
        <v>824000</v>
      </c>
    </row>
    <row r="81" spans="2:8" hidden="1" x14ac:dyDescent="0.2">
      <c r="B81" s="563" t="s">
        <v>446</v>
      </c>
      <c r="C81" s="543"/>
      <c r="D81" s="546">
        <v>0</v>
      </c>
      <c r="E81" s="546">
        <v>88000</v>
      </c>
      <c r="F81" s="546">
        <v>0</v>
      </c>
      <c r="G81" s="546">
        <v>0</v>
      </c>
      <c r="H81" s="546">
        <v>0</v>
      </c>
    </row>
    <row r="82" spans="2:8" hidden="1" x14ac:dyDescent="0.2">
      <c r="B82" s="563" t="s">
        <v>431</v>
      </c>
      <c r="C82" s="543"/>
      <c r="D82" s="564">
        <v>3.5000000000000003E-2</v>
      </c>
      <c r="E82" s="564">
        <v>3.5000000000000003E-2</v>
      </c>
      <c r="F82" s="564">
        <v>3.5000000000000003E-2</v>
      </c>
      <c r="G82" s="564">
        <v>3.5000000000000003E-2</v>
      </c>
      <c r="H82" s="564">
        <v>3.5000000000000003E-2</v>
      </c>
    </row>
    <row r="83" spans="2:8" hidden="1" x14ac:dyDescent="0.2">
      <c r="B83" s="563" t="s">
        <v>421</v>
      </c>
      <c r="C83" s="543"/>
      <c r="D83" s="544">
        <v>0</v>
      </c>
      <c r="E83" s="544">
        <v>1892000</v>
      </c>
      <c r="F83" s="544">
        <v>97460780</v>
      </c>
      <c r="G83" s="544">
        <v>333357335</v>
      </c>
      <c r="H83" s="544">
        <v>421784040</v>
      </c>
    </row>
    <row r="84" spans="2:8" hidden="1" x14ac:dyDescent="0.2">
      <c r="B84" s="563" t="s">
        <v>422</v>
      </c>
      <c r="C84" s="543"/>
      <c r="D84" s="544">
        <v>0</v>
      </c>
      <c r="E84" s="544">
        <v>-66220</v>
      </c>
      <c r="F84" s="544">
        <v>-3413445.0000000005</v>
      </c>
      <c r="G84" s="544">
        <v>-11789295.000000002</v>
      </c>
      <c r="H84" s="544">
        <v>-15296855.000000002</v>
      </c>
    </row>
    <row r="85" spans="2:8" hidden="1" x14ac:dyDescent="0.2">
      <c r="B85" s="563" t="s">
        <v>424</v>
      </c>
      <c r="C85" s="544">
        <v>0</v>
      </c>
      <c r="D85" s="544">
        <v>1892000</v>
      </c>
      <c r="E85" s="544">
        <v>97460780</v>
      </c>
      <c r="F85" s="544">
        <v>333357335</v>
      </c>
      <c r="G85" s="544">
        <v>421784040</v>
      </c>
      <c r="H85" s="544">
        <v>408075185</v>
      </c>
    </row>
    <row r="86" spans="2:8" hidden="1" x14ac:dyDescent="0.2">
      <c r="B86" s="563" t="s">
        <v>423</v>
      </c>
      <c r="C86" s="544">
        <v>0</v>
      </c>
      <c r="D86" s="544">
        <v>1892000</v>
      </c>
      <c r="E86" s="544">
        <v>97527000</v>
      </c>
      <c r="F86" s="544">
        <v>336837000</v>
      </c>
      <c r="G86" s="544">
        <v>437053000</v>
      </c>
      <c r="H86" s="544">
        <v>438641000</v>
      </c>
    </row>
    <row r="87" spans="2:8" hidden="1" x14ac:dyDescent="0.2">
      <c r="B87" s="563" t="s">
        <v>425</v>
      </c>
      <c r="C87" s="544">
        <v>0</v>
      </c>
      <c r="D87" s="544">
        <v>0</v>
      </c>
      <c r="E87" s="544">
        <v>-66220</v>
      </c>
      <c r="F87" s="544">
        <v>-3479665.0000000005</v>
      </c>
      <c r="G87" s="544">
        <v>-15268960.000000002</v>
      </c>
      <c r="H87" s="544">
        <v>-30565815.000000004</v>
      </c>
    </row>
    <row r="88" spans="2:8" hidden="1" x14ac:dyDescent="0.2">
      <c r="B88" s="563" t="s">
        <v>426</v>
      </c>
      <c r="C88" s="544">
        <v>0</v>
      </c>
      <c r="D88" s="544">
        <v>1892000</v>
      </c>
      <c r="E88" s="544">
        <v>97460780</v>
      </c>
      <c r="F88" s="544">
        <v>333357335</v>
      </c>
      <c r="G88" s="544">
        <v>421784040</v>
      </c>
      <c r="H88" s="544">
        <v>408075185</v>
      </c>
    </row>
    <row r="89" spans="2:8" hidden="1" x14ac:dyDescent="0.2"/>
    <row r="90" spans="2:8" s="530" customFormat="1" hidden="1" x14ac:dyDescent="0.2">
      <c r="B90" s="529" t="s">
        <v>447</v>
      </c>
    </row>
    <row r="91" spans="2:8" hidden="1" x14ac:dyDescent="0.2">
      <c r="B91" s="540"/>
      <c r="C91" s="540"/>
      <c r="D91" s="540"/>
      <c r="E91" s="540"/>
      <c r="F91" s="540"/>
      <c r="G91" s="540"/>
      <c r="H91" s="540"/>
    </row>
    <row r="92" spans="2:8" hidden="1" x14ac:dyDescent="0.2">
      <c r="B92" s="565" t="s">
        <v>448</v>
      </c>
      <c r="C92" s="562">
        <v>2016</v>
      </c>
      <c r="D92" s="562">
        <v>2017</v>
      </c>
      <c r="E92" s="562">
        <v>2018</v>
      </c>
      <c r="F92" s="562">
        <v>2019</v>
      </c>
      <c r="G92" s="562">
        <v>2020</v>
      </c>
      <c r="H92" s="562">
        <v>2021</v>
      </c>
    </row>
    <row r="93" spans="2:8" hidden="1" outlineLevel="1" x14ac:dyDescent="0.2">
      <c r="B93" s="566" t="s">
        <v>449</v>
      </c>
      <c r="C93" s="567"/>
      <c r="D93" s="567">
        <v>1842000</v>
      </c>
      <c r="E93" s="567">
        <v>91709000</v>
      </c>
      <c r="F93" s="567">
        <v>193381000</v>
      </c>
      <c r="G93" s="567">
        <v>74963000</v>
      </c>
      <c r="H93" s="567">
        <v>764000</v>
      </c>
    </row>
    <row r="94" spans="2:8" hidden="1" outlineLevel="1" x14ac:dyDescent="0.2">
      <c r="B94" s="566" t="s">
        <v>450</v>
      </c>
      <c r="C94" s="567"/>
      <c r="D94" s="567">
        <v>7007000</v>
      </c>
      <c r="E94" s="567">
        <v>17799000</v>
      </c>
      <c r="F94" s="567">
        <v>74971000</v>
      </c>
      <c r="G94" s="567">
        <v>150379000</v>
      </c>
      <c r="H94" s="567">
        <v>148736000</v>
      </c>
    </row>
    <row r="95" spans="2:8" hidden="1" outlineLevel="1" x14ac:dyDescent="0.2">
      <c r="B95" s="566" t="s">
        <v>451</v>
      </c>
      <c r="C95" s="567"/>
      <c r="D95" s="567">
        <v>1885000</v>
      </c>
      <c r="E95" s="567">
        <v>23690000</v>
      </c>
      <c r="F95" s="567">
        <v>6568000</v>
      </c>
      <c r="G95" s="567">
        <v>7072000</v>
      </c>
      <c r="H95" s="567">
        <v>4641000</v>
      </c>
    </row>
    <row r="96" spans="2:8" hidden="1" x14ac:dyDescent="0.2">
      <c r="B96" s="563" t="s">
        <v>452</v>
      </c>
      <c r="C96" s="544"/>
      <c r="D96" s="544">
        <v>10734000</v>
      </c>
      <c r="E96" s="544">
        <v>133198000</v>
      </c>
      <c r="F96" s="544">
        <v>274920000</v>
      </c>
      <c r="G96" s="544">
        <v>232414000</v>
      </c>
      <c r="H96" s="544">
        <v>154141000</v>
      </c>
    </row>
    <row r="97" spans="2:10" hidden="1" x14ac:dyDescent="0.2">
      <c r="B97" s="563" t="s">
        <v>453</v>
      </c>
      <c r="D97" s="568">
        <v>0</v>
      </c>
      <c r="E97" s="568">
        <v>0</v>
      </c>
      <c r="F97" s="568">
        <v>0</v>
      </c>
      <c r="G97" s="568">
        <v>0</v>
      </c>
      <c r="H97" s="568">
        <v>0</v>
      </c>
    </row>
    <row r="98" spans="2:10" hidden="1" x14ac:dyDescent="0.2">
      <c r="B98" s="563" t="s">
        <v>454</v>
      </c>
      <c r="D98" s="544">
        <v>10734000</v>
      </c>
      <c r="E98" s="544">
        <v>133198000</v>
      </c>
      <c r="F98" s="544">
        <v>274920000</v>
      </c>
      <c r="G98" s="544">
        <v>232414000</v>
      </c>
      <c r="H98" s="544">
        <v>154141000</v>
      </c>
      <c r="I98" s="549"/>
    </row>
    <row r="99" spans="2:10" hidden="1" x14ac:dyDescent="0.2">
      <c r="B99" s="563" t="s">
        <v>445</v>
      </c>
      <c r="D99" s="544">
        <v>766000</v>
      </c>
      <c r="E99" s="544">
        <v>3315000</v>
      </c>
      <c r="F99" s="544">
        <v>3240000</v>
      </c>
      <c r="G99" s="544">
        <v>2087000</v>
      </c>
      <c r="H99" s="544">
        <v>0</v>
      </c>
    </row>
    <row r="100" spans="2:10" hidden="1" x14ac:dyDescent="0.2">
      <c r="B100" s="563" t="s">
        <v>446</v>
      </c>
      <c r="D100" s="544">
        <v>0</v>
      </c>
      <c r="E100" s="544">
        <v>0</v>
      </c>
      <c r="F100" s="544">
        <v>5402000</v>
      </c>
      <c r="G100" s="544">
        <v>2316000</v>
      </c>
      <c r="H100" s="544">
        <v>0</v>
      </c>
    </row>
    <row r="101" spans="2:10" hidden="1" x14ac:dyDescent="0.2">
      <c r="B101" s="569" t="s">
        <v>455</v>
      </c>
      <c r="D101" s="544">
        <v>6080000</v>
      </c>
      <c r="E101" s="544">
        <v>4767000</v>
      </c>
      <c r="F101" s="544">
        <v>4242000</v>
      </c>
      <c r="G101" s="544">
        <v>3951000</v>
      </c>
      <c r="H101" s="544">
        <v>4507000</v>
      </c>
    </row>
    <row r="102" spans="2:10" hidden="1" x14ac:dyDescent="0.2">
      <c r="B102" s="570" t="s">
        <v>456</v>
      </c>
      <c r="D102" s="544">
        <v>4792200</v>
      </c>
      <c r="E102" s="544">
        <v>5657400</v>
      </c>
      <c r="F102" s="544">
        <v>5237400</v>
      </c>
      <c r="G102" s="544">
        <v>4226600</v>
      </c>
      <c r="H102" s="544">
        <v>3154900</v>
      </c>
    </row>
    <row r="103" spans="2:10" hidden="1" x14ac:dyDescent="0.2">
      <c r="B103" s="570" t="s">
        <v>457</v>
      </c>
      <c r="D103" s="544">
        <v>2053800.0000000002</v>
      </c>
      <c r="E103" s="544">
        <v>2424600.0000000005</v>
      </c>
      <c r="F103" s="544">
        <v>2244600.0000000005</v>
      </c>
      <c r="G103" s="544">
        <v>1811400.0000000002</v>
      </c>
      <c r="H103" s="544">
        <v>1352100.0000000002</v>
      </c>
    </row>
    <row r="104" spans="2:10" hidden="1" x14ac:dyDescent="0.2"/>
    <row r="105" spans="2:10" hidden="1" x14ac:dyDescent="0.2">
      <c r="B105" s="565" t="s">
        <v>458</v>
      </c>
      <c r="C105" s="562"/>
      <c r="D105" s="562">
        <v>2017</v>
      </c>
      <c r="E105" s="562">
        <v>2018</v>
      </c>
      <c r="F105" s="562">
        <v>2019</v>
      </c>
      <c r="G105" s="562">
        <v>2020</v>
      </c>
      <c r="H105" s="562">
        <v>2021</v>
      </c>
    </row>
    <row r="106" spans="2:10" hidden="1" x14ac:dyDescent="0.2">
      <c r="B106" s="528" t="s">
        <v>429</v>
      </c>
      <c r="D106" s="544">
        <v>0</v>
      </c>
      <c r="E106" s="544">
        <v>0</v>
      </c>
      <c r="F106" s="544">
        <v>0</v>
      </c>
      <c r="G106" s="544">
        <v>0</v>
      </c>
      <c r="H106" s="544">
        <v>0</v>
      </c>
    </row>
    <row r="107" spans="2:10" hidden="1" x14ac:dyDescent="0.2">
      <c r="B107" s="528" t="s">
        <v>430</v>
      </c>
      <c r="D107" s="571">
        <v>0</v>
      </c>
      <c r="E107" s="571">
        <v>0</v>
      </c>
      <c r="F107" s="571">
        <v>0</v>
      </c>
      <c r="G107" s="571">
        <v>0</v>
      </c>
      <c r="H107" s="571">
        <v>0</v>
      </c>
    </row>
    <row r="108" spans="2:10" hidden="1" x14ac:dyDescent="0.2">
      <c r="B108" s="528" t="s">
        <v>431</v>
      </c>
      <c r="D108" s="564">
        <v>3.5000000000000003E-2</v>
      </c>
      <c r="E108" s="564">
        <v>3.5000000000000003E-2</v>
      </c>
      <c r="F108" s="564">
        <v>3.5000000000000003E-2</v>
      </c>
      <c r="G108" s="564">
        <v>3.5000000000000003E-2</v>
      </c>
      <c r="H108" s="564">
        <v>3.5000000000000003E-2</v>
      </c>
    </row>
    <row r="109" spans="2:10" hidden="1" x14ac:dyDescent="0.2">
      <c r="B109" s="528" t="s">
        <v>421</v>
      </c>
    </row>
    <row r="110" spans="2:10" hidden="1" x14ac:dyDescent="0.2">
      <c r="B110" s="528" t="s">
        <v>422</v>
      </c>
      <c r="D110" s="544">
        <v>0</v>
      </c>
      <c r="E110" s="544">
        <v>0</v>
      </c>
      <c r="F110" s="544">
        <v>0</v>
      </c>
      <c r="G110" s="544">
        <v>0</v>
      </c>
      <c r="H110" s="544">
        <v>0</v>
      </c>
      <c r="J110" s="572"/>
    </row>
    <row r="111" spans="2:10" hidden="1" x14ac:dyDescent="0.2">
      <c r="B111" s="528" t="s">
        <v>459</v>
      </c>
      <c r="C111" s="544">
        <v>0</v>
      </c>
      <c r="D111" s="544">
        <v>0</v>
      </c>
      <c r="E111" s="544">
        <v>0</v>
      </c>
      <c r="F111" s="544">
        <v>0</v>
      </c>
      <c r="G111" s="544">
        <v>0</v>
      </c>
      <c r="H111" s="544">
        <v>0</v>
      </c>
    </row>
    <row r="112" spans="2:10" hidden="1" x14ac:dyDescent="0.2">
      <c r="B112" s="573" t="s">
        <v>460</v>
      </c>
      <c r="C112" s="574">
        <v>0</v>
      </c>
      <c r="D112" s="574">
        <v>0</v>
      </c>
      <c r="E112" s="574">
        <v>0</v>
      </c>
      <c r="F112" s="574">
        <v>0</v>
      </c>
      <c r="G112" s="574">
        <v>0</v>
      </c>
      <c r="H112" s="574">
        <v>0</v>
      </c>
    </row>
    <row r="113" spans="2:10" hidden="1" x14ac:dyDescent="0.2">
      <c r="B113" s="528" t="s">
        <v>425</v>
      </c>
      <c r="D113" s="544">
        <v>0</v>
      </c>
      <c r="E113" s="544">
        <v>0</v>
      </c>
      <c r="F113" s="544">
        <v>0</v>
      </c>
      <c r="G113" s="544">
        <v>0</v>
      </c>
      <c r="H113" s="544">
        <v>0</v>
      </c>
    </row>
    <row r="114" spans="2:10" hidden="1" x14ac:dyDescent="0.2">
      <c r="B114" s="573" t="s">
        <v>461</v>
      </c>
      <c r="C114" s="574">
        <v>0</v>
      </c>
      <c r="D114" s="574">
        <v>0</v>
      </c>
      <c r="E114" s="574">
        <v>0</v>
      </c>
      <c r="F114" s="574">
        <v>0</v>
      </c>
      <c r="G114" s="574">
        <v>0</v>
      </c>
      <c r="H114" s="574">
        <v>0</v>
      </c>
    </row>
    <row r="115" spans="2:10" hidden="1" x14ac:dyDescent="0.2">
      <c r="I115" s="575"/>
    </row>
    <row r="116" spans="2:10" hidden="1" x14ac:dyDescent="0.2"/>
    <row r="117" spans="2:10" hidden="1" x14ac:dyDescent="0.2">
      <c r="B117" s="565" t="s">
        <v>462</v>
      </c>
      <c r="C117" s="562" t="s">
        <v>463</v>
      </c>
      <c r="D117" s="562">
        <v>2017</v>
      </c>
      <c r="E117" s="562">
        <v>2018</v>
      </c>
      <c r="F117" s="562">
        <v>2019</v>
      </c>
      <c r="G117" s="562">
        <v>2020</v>
      </c>
      <c r="H117" s="562">
        <v>2021</v>
      </c>
    </row>
    <row r="118" spans="2:10" hidden="1" x14ac:dyDescent="0.2">
      <c r="B118" s="528" t="s">
        <v>429</v>
      </c>
      <c r="D118" s="544">
        <v>10734000</v>
      </c>
      <c r="E118" s="544">
        <v>133198000</v>
      </c>
      <c r="F118" s="544">
        <v>274920000</v>
      </c>
      <c r="G118" s="544">
        <v>232414000</v>
      </c>
      <c r="H118" s="544">
        <v>154141000</v>
      </c>
    </row>
    <row r="119" spans="2:10" hidden="1" x14ac:dyDescent="0.2">
      <c r="B119" s="528" t="s">
        <v>430</v>
      </c>
      <c r="D119" s="576">
        <v>7205013.6986301364</v>
      </c>
      <c r="E119" s="576">
        <v>89406876.712328762</v>
      </c>
      <c r="F119" s="576">
        <v>184535342.46575347</v>
      </c>
      <c r="G119" s="576">
        <v>58581063.013698637</v>
      </c>
      <c r="H119" s="576">
        <v>38851978.082191788</v>
      </c>
    </row>
    <row r="120" spans="2:10" hidden="1" x14ac:dyDescent="0.2">
      <c r="B120" s="528" t="s">
        <v>431</v>
      </c>
      <c r="D120" s="564">
        <v>3.5000000000000003E-2</v>
      </c>
      <c r="E120" s="564">
        <v>3.5000000000000003E-2</v>
      </c>
      <c r="F120" s="564">
        <v>3.5000000000000003E-2</v>
      </c>
      <c r="G120" s="564">
        <v>3.5000000000000003E-2</v>
      </c>
      <c r="H120" s="564">
        <v>3.5000000000000003E-2</v>
      </c>
    </row>
    <row r="121" spans="2:10" hidden="1" x14ac:dyDescent="0.2">
      <c r="B121" s="528" t="s">
        <v>421</v>
      </c>
    </row>
    <row r="122" spans="2:10" hidden="1" x14ac:dyDescent="0.2">
      <c r="B122" s="528" t="s">
        <v>422</v>
      </c>
      <c r="D122" s="544">
        <v>-252175.4794520548</v>
      </c>
      <c r="E122" s="544">
        <v>-3504930.6849315069</v>
      </c>
      <c r="F122" s="544">
        <v>-11496356.986301372</v>
      </c>
      <c r="G122" s="544">
        <v>-16710157.205479454</v>
      </c>
      <c r="H122" s="544">
        <v>-24154129.232876714</v>
      </c>
      <c r="J122" s="572"/>
    </row>
    <row r="123" spans="2:10" hidden="1" x14ac:dyDescent="0.2">
      <c r="B123" s="528" t="s">
        <v>459</v>
      </c>
      <c r="C123" s="544">
        <v>0</v>
      </c>
      <c r="D123" s="544">
        <v>10481824.520547945</v>
      </c>
      <c r="E123" s="544">
        <v>140174893.83561644</v>
      </c>
      <c r="F123" s="544">
        <v>403598536.84931511</v>
      </c>
      <c r="G123" s="544">
        <v>619302379.64383566</v>
      </c>
      <c r="H123" s="544">
        <v>749289250.41095901</v>
      </c>
    </row>
    <row r="124" spans="2:10" hidden="1" x14ac:dyDescent="0.2">
      <c r="B124" s="573" t="s">
        <v>460</v>
      </c>
      <c r="C124" s="574">
        <v>0</v>
      </c>
      <c r="D124" s="574">
        <v>10734000</v>
      </c>
      <c r="E124" s="574">
        <v>143932000</v>
      </c>
      <c r="F124" s="574">
        <v>418852000</v>
      </c>
      <c r="G124" s="574">
        <v>651266000</v>
      </c>
      <c r="H124" s="574">
        <v>805407000</v>
      </c>
    </row>
    <row r="125" spans="2:10" hidden="1" x14ac:dyDescent="0.2">
      <c r="B125" s="528" t="s">
        <v>425</v>
      </c>
      <c r="D125" s="544">
        <v>-252175.4794520548</v>
      </c>
      <c r="E125" s="544">
        <v>-3757106.1643835618</v>
      </c>
      <c r="F125" s="544">
        <v>-15253463.150684934</v>
      </c>
      <c r="G125" s="544">
        <v>-31963620.356164388</v>
      </c>
      <c r="H125" s="544">
        <v>-56117749.589041099</v>
      </c>
    </row>
    <row r="126" spans="2:10" hidden="1" x14ac:dyDescent="0.2">
      <c r="B126" s="573" t="s">
        <v>461</v>
      </c>
      <c r="C126" s="574">
        <v>0</v>
      </c>
      <c r="D126" s="574">
        <v>10481824.520547945</v>
      </c>
      <c r="E126" s="574">
        <v>140174893.83561644</v>
      </c>
      <c r="F126" s="574">
        <v>403598536.84931505</v>
      </c>
      <c r="G126" s="574">
        <v>619302379.64383566</v>
      </c>
      <c r="H126" s="574">
        <v>749289250.41095889</v>
      </c>
    </row>
    <row r="127" spans="2:10" hidden="1" x14ac:dyDescent="0.2">
      <c r="B127" s="573"/>
      <c r="C127" s="573"/>
      <c r="D127" s="574"/>
      <c r="E127" s="574"/>
      <c r="F127" s="574"/>
      <c r="G127" s="574"/>
      <c r="H127" s="574"/>
    </row>
    <row r="128" spans="2:10" hidden="1" outlineLevel="1" x14ac:dyDescent="0.2">
      <c r="B128" s="565" t="s">
        <v>464</v>
      </c>
      <c r="C128" s="562" t="s">
        <v>465</v>
      </c>
      <c r="D128" s="562">
        <v>2017</v>
      </c>
      <c r="E128" s="562">
        <v>2018</v>
      </c>
      <c r="F128" s="562">
        <v>2019</v>
      </c>
      <c r="G128" s="562">
        <v>2020</v>
      </c>
      <c r="H128" s="562">
        <v>2021</v>
      </c>
    </row>
    <row r="129" spans="2:10" hidden="1" outlineLevel="1" x14ac:dyDescent="0.2">
      <c r="B129" s="528" t="s">
        <v>429</v>
      </c>
      <c r="D129" s="544">
        <v>4792200</v>
      </c>
      <c r="E129" s="544">
        <v>5657400</v>
      </c>
      <c r="F129" s="544">
        <v>5237400</v>
      </c>
      <c r="G129" s="544">
        <v>4226600</v>
      </c>
      <c r="H129" s="544">
        <v>3154900</v>
      </c>
      <c r="I129" s="577"/>
      <c r="J129" s="578"/>
    </row>
    <row r="130" spans="2:10" hidden="1" outlineLevel="1" x14ac:dyDescent="0.2">
      <c r="B130" s="528" t="s">
        <v>430</v>
      </c>
      <c r="D130" s="576">
        <v>3216682.1917808214</v>
      </c>
      <c r="E130" s="576">
        <v>3797432.8767123278</v>
      </c>
      <c r="F130" s="576">
        <v>3515515.0684931497</v>
      </c>
      <c r="G130" s="576">
        <v>1065334.7945205478</v>
      </c>
      <c r="H130" s="576">
        <v>795207.67123287672</v>
      </c>
      <c r="I130" s="575"/>
    </row>
    <row r="131" spans="2:10" hidden="1" outlineLevel="1" x14ac:dyDescent="0.2">
      <c r="B131" s="528" t="s">
        <v>431</v>
      </c>
      <c r="C131" s="579"/>
      <c r="D131" s="579">
        <v>3.4838098558625408E-2</v>
      </c>
      <c r="E131" s="579">
        <v>3.4838098558625408E-2</v>
      </c>
      <c r="F131" s="579">
        <v>3.4838098558625408E-2</v>
      </c>
      <c r="G131" s="579">
        <v>3.4838098558625408E-2</v>
      </c>
      <c r="H131" s="579">
        <v>3.4838098558625408E-2</v>
      </c>
    </row>
    <row r="132" spans="2:10" hidden="1" outlineLevel="1" x14ac:dyDescent="0.2">
      <c r="B132" s="528" t="s">
        <v>421</v>
      </c>
    </row>
    <row r="133" spans="2:10" hidden="1" outlineLevel="1" x14ac:dyDescent="0.2">
      <c r="B133" s="528" t="s">
        <v>422</v>
      </c>
      <c r="D133" s="544">
        <v>-112063.09122903545</v>
      </c>
      <c r="E133" s="544">
        <v>-299246.47674131318</v>
      </c>
      <c r="F133" s="544">
        <v>-486518.0551387092</v>
      </c>
      <c r="G133" s="544">
        <v>-583619.49065859651</v>
      </c>
      <c r="H133" s="544">
        <v>-721455.48268202879</v>
      </c>
      <c r="J133" s="572"/>
    </row>
    <row r="134" spans="2:10" hidden="1" outlineLevel="1" x14ac:dyDescent="0.2">
      <c r="B134" s="528" t="s">
        <v>459</v>
      </c>
      <c r="C134" s="544">
        <v>0</v>
      </c>
      <c r="D134" s="544">
        <v>4680136.9087709645</v>
      </c>
      <c r="E134" s="544">
        <v>10038290.43202965</v>
      </c>
      <c r="F134" s="544">
        <v>14789172.376890941</v>
      </c>
      <c r="G134" s="544">
        <v>18432152.886232346</v>
      </c>
      <c r="H134" s="544">
        <v>20865597.403550319</v>
      </c>
    </row>
    <row r="135" spans="2:10" hidden="1" outlineLevel="1" x14ac:dyDescent="0.2">
      <c r="B135" s="573" t="s">
        <v>460</v>
      </c>
      <c r="C135" s="574">
        <v>0</v>
      </c>
      <c r="D135" s="574">
        <v>4792200</v>
      </c>
      <c r="E135" s="574">
        <v>10449600</v>
      </c>
      <c r="F135" s="574">
        <v>15687000</v>
      </c>
      <c r="G135" s="574">
        <v>19913600</v>
      </c>
      <c r="H135" s="574">
        <v>23068500</v>
      </c>
    </row>
    <row r="136" spans="2:10" hidden="1" outlineLevel="1" x14ac:dyDescent="0.2">
      <c r="B136" s="528" t="s">
        <v>425</v>
      </c>
      <c r="D136" s="544">
        <v>-112063.09122903545</v>
      </c>
      <c r="E136" s="544">
        <v>-411309.56797034864</v>
      </c>
      <c r="F136" s="544">
        <v>-897827.62310905778</v>
      </c>
      <c r="G136" s="544">
        <v>-1481447.1137676542</v>
      </c>
      <c r="H136" s="544">
        <v>-2202902.596449683</v>
      </c>
    </row>
    <row r="137" spans="2:10" hidden="1" outlineLevel="1" x14ac:dyDescent="0.2">
      <c r="B137" s="573" t="s">
        <v>461</v>
      </c>
      <c r="C137" s="574">
        <v>0</v>
      </c>
      <c r="D137" s="574">
        <v>4680136.9087709645</v>
      </c>
      <c r="E137" s="574">
        <v>10038290.432029651</v>
      </c>
      <c r="F137" s="574">
        <v>14789172.376890942</v>
      </c>
      <c r="G137" s="574">
        <v>18432152.886232346</v>
      </c>
      <c r="H137" s="574">
        <v>20865597.403550316</v>
      </c>
    </row>
    <row r="138" spans="2:10" hidden="1" outlineLevel="1" x14ac:dyDescent="0.2">
      <c r="B138" s="573"/>
      <c r="C138" s="573"/>
      <c r="D138" s="574"/>
      <c r="E138" s="574"/>
      <c r="F138" s="574"/>
      <c r="G138" s="574"/>
      <c r="H138" s="574"/>
    </row>
    <row r="139" spans="2:10" hidden="1" x14ac:dyDescent="0.2">
      <c r="B139" s="565" t="s">
        <v>464</v>
      </c>
      <c r="C139" s="562" t="s">
        <v>466</v>
      </c>
      <c r="D139" s="562">
        <v>2017</v>
      </c>
      <c r="E139" s="562">
        <v>2018</v>
      </c>
      <c r="F139" s="562">
        <v>2019</v>
      </c>
      <c r="G139" s="562">
        <v>2020</v>
      </c>
      <c r="H139" s="562">
        <v>2021</v>
      </c>
    </row>
    <row r="140" spans="2:10" hidden="1" x14ac:dyDescent="0.2">
      <c r="B140" s="528" t="s">
        <v>429</v>
      </c>
      <c r="D140" s="544">
        <v>2053800.0000000002</v>
      </c>
      <c r="E140" s="544">
        <v>2424600.0000000005</v>
      </c>
      <c r="F140" s="544">
        <v>2244600.0000000005</v>
      </c>
      <c r="G140" s="544">
        <v>1811400.0000000002</v>
      </c>
      <c r="H140" s="544">
        <v>1352100.0000000002</v>
      </c>
      <c r="I140" s="577"/>
    </row>
    <row r="141" spans="2:10" hidden="1" x14ac:dyDescent="0.2">
      <c r="B141" s="528" t="s">
        <v>430</v>
      </c>
      <c r="D141" s="576">
        <v>1378578.0821917809</v>
      </c>
      <c r="E141" s="576">
        <v>1627471.2328767122</v>
      </c>
      <c r="F141" s="576">
        <v>1506649.3150684931</v>
      </c>
      <c r="G141" s="576">
        <v>456572.05479452061</v>
      </c>
      <c r="H141" s="576">
        <v>340803.28767123295</v>
      </c>
      <c r="I141" s="575"/>
    </row>
    <row r="142" spans="2:10" hidden="1" x14ac:dyDescent="0.2">
      <c r="B142" s="528" t="s">
        <v>431</v>
      </c>
      <c r="C142" s="579"/>
      <c r="D142" s="579">
        <v>3.4838098558625408E-2</v>
      </c>
      <c r="E142" s="579">
        <v>3.4838098558625408E-2</v>
      </c>
      <c r="F142" s="579">
        <v>3.4838098558625408E-2</v>
      </c>
      <c r="G142" s="579">
        <v>3.4838098558625408E-2</v>
      </c>
      <c r="H142" s="579">
        <v>3.4838098558625408E-2</v>
      </c>
    </row>
    <row r="143" spans="2:10" hidden="1" x14ac:dyDescent="0.2">
      <c r="B143" s="528" t="s">
        <v>421</v>
      </c>
    </row>
    <row r="144" spans="2:10" hidden="1" x14ac:dyDescent="0.2">
      <c r="B144" s="528" t="s">
        <v>422</v>
      </c>
      <c r="D144" s="544">
        <v>-48027.039098158064</v>
      </c>
      <c r="E144" s="544">
        <v>-128248.49003199137</v>
      </c>
      <c r="F144" s="544">
        <v>-208507.73791658971</v>
      </c>
      <c r="G144" s="544">
        <v>-250122.6388536843</v>
      </c>
      <c r="H144" s="544">
        <v>-309195.20686372672</v>
      </c>
      <c r="J144" s="572"/>
    </row>
    <row r="145" spans="2:9" hidden="1" x14ac:dyDescent="0.2">
      <c r="B145" s="528" t="s">
        <v>459</v>
      </c>
      <c r="C145" s="544">
        <v>0</v>
      </c>
      <c r="D145" s="544">
        <v>2005772.9609018422</v>
      </c>
      <c r="E145" s="544">
        <v>4302124.4708698513</v>
      </c>
      <c r="F145" s="544">
        <v>6338216.7329532625</v>
      </c>
      <c r="G145" s="544">
        <v>7899494.0940995784</v>
      </c>
      <c r="H145" s="544">
        <v>8942398.887235852</v>
      </c>
    </row>
    <row r="146" spans="2:9" hidden="1" x14ac:dyDescent="0.2">
      <c r="B146" s="573" t="s">
        <v>460</v>
      </c>
      <c r="C146" s="574">
        <v>0</v>
      </c>
      <c r="D146" s="574">
        <v>2053800.0000000002</v>
      </c>
      <c r="E146" s="574">
        <v>4478400.0000000009</v>
      </c>
      <c r="F146" s="574">
        <v>6723000.0000000019</v>
      </c>
      <c r="G146" s="574">
        <v>8534400.0000000019</v>
      </c>
      <c r="H146" s="574">
        <v>9886500.0000000019</v>
      </c>
    </row>
    <row r="147" spans="2:9" hidden="1" x14ac:dyDescent="0.2">
      <c r="B147" s="528" t="s">
        <v>425</v>
      </c>
      <c r="D147" s="544">
        <v>-48027.039098158064</v>
      </c>
      <c r="E147" s="544">
        <v>-176275.52913014943</v>
      </c>
      <c r="F147" s="544">
        <v>-384783.26704673911</v>
      </c>
      <c r="G147" s="544">
        <v>-634905.90590042342</v>
      </c>
      <c r="H147" s="544">
        <v>-944101.11276415014</v>
      </c>
    </row>
    <row r="148" spans="2:9" hidden="1" x14ac:dyDescent="0.2">
      <c r="B148" s="573" t="s">
        <v>461</v>
      </c>
      <c r="C148" s="574">
        <v>0</v>
      </c>
      <c r="D148" s="574">
        <v>2005772.9609018422</v>
      </c>
      <c r="E148" s="574">
        <v>4302124.4708698513</v>
      </c>
      <c r="F148" s="574">
        <v>6338216.7329532625</v>
      </c>
      <c r="G148" s="574">
        <v>7899494.0940995784</v>
      </c>
      <c r="H148" s="574">
        <v>8942398.887235852</v>
      </c>
    </row>
    <row r="149" spans="2:9" hidden="1" x14ac:dyDescent="0.2">
      <c r="B149" s="551"/>
      <c r="C149" s="580"/>
    </row>
    <row r="150" spans="2:9" hidden="1" x14ac:dyDescent="0.2">
      <c r="B150" s="541" t="s">
        <v>467</v>
      </c>
      <c r="C150" s="581">
        <v>2016</v>
      </c>
      <c r="D150" s="581">
        <v>2017</v>
      </c>
      <c r="E150" s="581">
        <v>2018</v>
      </c>
      <c r="F150" s="581">
        <v>2019</v>
      </c>
      <c r="G150" s="581">
        <v>2020</v>
      </c>
      <c r="H150" s="581">
        <v>2021</v>
      </c>
      <c r="I150" s="528" t="s">
        <v>468</v>
      </c>
    </row>
    <row r="151" spans="2:9" hidden="1" x14ac:dyDescent="0.2">
      <c r="B151" s="528" t="s">
        <v>459</v>
      </c>
      <c r="C151" s="544"/>
      <c r="D151" s="544">
        <v>4680136.9087709645</v>
      </c>
      <c r="E151" s="544">
        <v>10038290.432029651</v>
      </c>
      <c r="F151" s="544">
        <v>14789172.376890942</v>
      </c>
      <c r="G151" s="544">
        <v>18432152.886232346</v>
      </c>
      <c r="H151" s="544">
        <v>20865597.403550316</v>
      </c>
    </row>
    <row r="152" spans="2:9" hidden="1" x14ac:dyDescent="0.2">
      <c r="B152" s="528" t="s">
        <v>469</v>
      </c>
      <c r="C152" s="580"/>
      <c r="D152" s="544">
        <v>-112063.09122903545</v>
      </c>
      <c r="E152" s="544">
        <v>-299246.47674131318</v>
      </c>
      <c r="F152" s="544">
        <v>-486518.0551387092</v>
      </c>
      <c r="G152" s="544">
        <v>-583619.49065859651</v>
      </c>
      <c r="H152" s="544">
        <v>-721455.48268202879</v>
      </c>
    </row>
    <row r="153" spans="2:9" hidden="1" x14ac:dyDescent="0.2">
      <c r="B153" s="528" t="s">
        <v>460</v>
      </c>
      <c r="C153" s="580"/>
      <c r="D153" s="544">
        <v>4792200</v>
      </c>
      <c r="E153" s="544">
        <v>10449600</v>
      </c>
      <c r="F153" s="544">
        <v>15687000</v>
      </c>
      <c r="G153" s="544">
        <v>19913600</v>
      </c>
      <c r="H153" s="544">
        <v>23068500</v>
      </c>
    </row>
    <row r="154" spans="2:9" hidden="1" x14ac:dyDescent="0.2">
      <c r="B154" s="528" t="s">
        <v>430</v>
      </c>
      <c r="C154" s="580"/>
      <c r="D154" s="544">
        <v>3216682.1917808214</v>
      </c>
      <c r="E154" s="544">
        <v>3797432.8767123278</v>
      </c>
      <c r="F154" s="544">
        <v>3515515.0684931497</v>
      </c>
      <c r="G154" s="544">
        <v>1065334.7945205478</v>
      </c>
      <c r="H154" s="544">
        <v>795207.67123287672</v>
      </c>
    </row>
    <row r="155" spans="2:9" hidden="1" x14ac:dyDescent="0.2">
      <c r="B155" s="541" t="s">
        <v>467</v>
      </c>
      <c r="C155" s="581">
        <v>2016</v>
      </c>
      <c r="D155" s="581">
        <v>2017</v>
      </c>
      <c r="E155" s="581">
        <v>2018</v>
      </c>
      <c r="F155" s="581">
        <v>2019</v>
      </c>
      <c r="G155" s="581">
        <v>2020</v>
      </c>
      <c r="H155" s="581">
        <v>2021</v>
      </c>
      <c r="I155" s="528" t="s">
        <v>470</v>
      </c>
    </row>
    <row r="156" spans="2:9" hidden="1" x14ac:dyDescent="0.2">
      <c r="B156" s="528" t="s">
        <v>459</v>
      </c>
      <c r="C156" s="544"/>
      <c r="D156" s="544">
        <v>12487597.481449787</v>
      </c>
      <c r="E156" s="544">
        <v>144477018.30648628</v>
      </c>
      <c r="F156" s="544">
        <v>409936753.5822683</v>
      </c>
      <c r="G156" s="544">
        <v>627201873.73793519</v>
      </c>
      <c r="H156" s="544">
        <v>758231649.29819477</v>
      </c>
    </row>
    <row r="157" spans="2:9" hidden="1" x14ac:dyDescent="0.2">
      <c r="B157" s="528" t="s">
        <v>469</v>
      </c>
      <c r="C157" s="580"/>
      <c r="D157" s="544">
        <v>-300202.51855021284</v>
      </c>
      <c r="E157" s="544">
        <v>-3633179.174963498</v>
      </c>
      <c r="F157" s="544">
        <v>-11704864.724217962</v>
      </c>
      <c r="G157" s="544">
        <v>-16960279.844333138</v>
      </c>
      <c r="H157" s="544">
        <v>-24463324.439740442</v>
      </c>
    </row>
    <row r="158" spans="2:9" hidden="1" x14ac:dyDescent="0.2">
      <c r="B158" s="528" t="s">
        <v>460</v>
      </c>
      <c r="C158" s="582"/>
      <c r="D158" s="544">
        <v>12787800</v>
      </c>
      <c r="E158" s="544">
        <v>148410400</v>
      </c>
      <c r="F158" s="544">
        <v>425575000</v>
      </c>
      <c r="G158" s="544">
        <v>659800400</v>
      </c>
      <c r="H158" s="544">
        <v>815293500</v>
      </c>
    </row>
    <row r="159" spans="2:9" hidden="1" x14ac:dyDescent="0.2">
      <c r="B159" s="528" t="s">
        <v>430</v>
      </c>
      <c r="C159" s="580"/>
      <c r="D159" s="544">
        <v>8583591.7808219176</v>
      </c>
      <c r="E159" s="544">
        <v>91034347.94520548</v>
      </c>
      <c r="F159" s="544">
        <v>186041991.78082195</v>
      </c>
      <c r="G159" s="544">
        <v>59037635.068493158</v>
      </c>
      <c r="H159" s="544">
        <v>39192781.369863018</v>
      </c>
    </row>
    <row r="160" spans="2:9" hidden="1" x14ac:dyDescent="0.2">
      <c r="C160" s="544"/>
      <c r="D160" s="544"/>
      <c r="E160" s="544"/>
      <c r="F160" s="544"/>
      <c r="G160" s="544"/>
      <c r="H160" s="544"/>
    </row>
    <row r="161" spans="2:8" s="530" customFormat="1" x14ac:dyDescent="0.2">
      <c r="B161" s="529" t="s">
        <v>301</v>
      </c>
    </row>
    <row r="162" spans="2:8" x14ac:dyDescent="0.2">
      <c r="B162" s="551"/>
      <c r="C162" s="580"/>
    </row>
    <row r="163" spans="2:8" x14ac:dyDescent="0.2">
      <c r="B163" s="541"/>
      <c r="C163" s="529">
        <v>2016</v>
      </c>
      <c r="D163" s="529">
        <v>2017</v>
      </c>
      <c r="E163" s="529">
        <v>2018</v>
      </c>
      <c r="F163" s="529">
        <v>2019</v>
      </c>
      <c r="G163" s="529">
        <v>2020</v>
      </c>
      <c r="H163" s="529">
        <v>2021</v>
      </c>
    </row>
    <row r="164" spans="2:8" x14ac:dyDescent="0.2">
      <c r="B164" s="548" t="s">
        <v>431</v>
      </c>
      <c r="C164" s="542">
        <v>2.4239702011208852E-2</v>
      </c>
      <c r="D164" s="542">
        <v>2.4239702011208852E-2</v>
      </c>
      <c r="E164" s="542">
        <v>2.4239702011208852E-2</v>
      </c>
      <c r="F164" s="542">
        <v>2.4239702011208852E-2</v>
      </c>
      <c r="G164" s="542">
        <v>2.4239702011208852E-2</v>
      </c>
      <c r="H164" s="542">
        <v>2.4239702011208852E-2</v>
      </c>
    </row>
    <row r="165" spans="2:8" x14ac:dyDescent="0.2">
      <c r="B165" s="548" t="s">
        <v>433</v>
      </c>
      <c r="C165" s="552">
        <v>0.02</v>
      </c>
      <c r="D165" s="552">
        <v>0.02</v>
      </c>
      <c r="E165" s="552">
        <v>0.02</v>
      </c>
      <c r="F165" s="552">
        <v>0.02</v>
      </c>
      <c r="G165" s="552">
        <v>0.02</v>
      </c>
      <c r="H165" s="552">
        <v>0.02</v>
      </c>
    </row>
    <row r="166" spans="2:8" x14ac:dyDescent="0.2">
      <c r="B166" s="548" t="s">
        <v>420</v>
      </c>
      <c r="C166" s="544"/>
      <c r="D166" s="544">
        <v>30496959.555</v>
      </c>
      <c r="E166" s="544">
        <v>30496959.555</v>
      </c>
      <c r="F166" s="544">
        <v>30496959.555</v>
      </c>
      <c r="G166" s="544">
        <v>30496959.555</v>
      </c>
      <c r="H166" s="544">
        <v>30496959.555</v>
      </c>
    </row>
    <row r="167" spans="2:8" x14ac:dyDescent="0.2">
      <c r="B167" s="548" t="s">
        <v>421</v>
      </c>
      <c r="C167" s="544"/>
      <c r="D167" s="544">
        <v>14766818.484999999</v>
      </c>
      <c r="E167" s="544">
        <v>14027581.273138911</v>
      </c>
      <c r="F167" s="544">
        <v>13288344.061277822</v>
      </c>
      <c r="G167" s="544">
        <v>12549106.849416733</v>
      </c>
      <c r="H167" s="544">
        <v>11809869.637555644</v>
      </c>
    </row>
    <row r="168" spans="2:8" x14ac:dyDescent="0.2">
      <c r="B168" s="548" t="s">
        <v>422</v>
      </c>
      <c r="C168" s="544"/>
      <c r="D168" s="544">
        <v>-739237.21186108852</v>
      </c>
      <c r="E168" s="544">
        <v>-739237.21186108852</v>
      </c>
      <c r="F168" s="544">
        <v>-739237.21186108852</v>
      </c>
      <c r="G168" s="544">
        <v>-739237.21186108852</v>
      </c>
      <c r="H168" s="544">
        <v>-739237.21186108852</v>
      </c>
    </row>
    <row r="169" spans="2:8" x14ac:dyDescent="0.2">
      <c r="B169" s="548" t="s">
        <v>434</v>
      </c>
      <c r="C169" s="544"/>
      <c r="D169" s="544"/>
      <c r="E169" s="544"/>
      <c r="F169" s="544"/>
      <c r="G169" s="544"/>
      <c r="H169" s="544"/>
    </row>
    <row r="170" spans="2:8" x14ac:dyDescent="0.2">
      <c r="B170" s="548" t="s">
        <v>423</v>
      </c>
      <c r="C170" s="544">
        <v>30496959.555</v>
      </c>
      <c r="D170" s="544">
        <v>30496959.555</v>
      </c>
      <c r="E170" s="544">
        <v>30496959.555</v>
      </c>
      <c r="F170" s="544">
        <v>30496959.555</v>
      </c>
      <c r="G170" s="544">
        <v>30496959.555</v>
      </c>
      <c r="H170" s="544">
        <v>30496959.555</v>
      </c>
    </row>
    <row r="171" spans="2:8" x14ac:dyDescent="0.2">
      <c r="B171" s="548" t="s">
        <v>425</v>
      </c>
      <c r="C171" s="544">
        <v>-15730141.07</v>
      </c>
      <c r="D171" s="544">
        <v>-16469378.281861089</v>
      </c>
      <c r="E171" s="544">
        <v>-17208615.493722178</v>
      </c>
      <c r="F171" s="544">
        <v>-17947852.705583267</v>
      </c>
      <c r="G171" s="544">
        <v>-18687089.917444356</v>
      </c>
      <c r="H171" s="544">
        <v>-19426327.129305445</v>
      </c>
    </row>
    <row r="172" spans="2:8" x14ac:dyDescent="0.2">
      <c r="B172" s="548" t="s">
        <v>424</v>
      </c>
      <c r="C172" s="544">
        <v>14766818.484999999</v>
      </c>
      <c r="D172" s="544">
        <v>14027581.273138911</v>
      </c>
      <c r="E172" s="544">
        <v>13288344.061277822</v>
      </c>
      <c r="F172" s="544">
        <v>12549106.849416733</v>
      </c>
      <c r="G172" s="544">
        <v>11809869.637555644</v>
      </c>
      <c r="H172" s="544">
        <v>11070632.425694555</v>
      </c>
    </row>
    <row r="173" spans="2:8" x14ac:dyDescent="0.2">
      <c r="B173" s="548"/>
      <c r="C173" s="583"/>
    </row>
    <row r="174" spans="2:8" x14ac:dyDescent="0.2">
      <c r="B174" s="584" t="s">
        <v>448</v>
      </c>
      <c r="C174" s="529">
        <v>2016</v>
      </c>
      <c r="D174" s="529">
        <v>2017</v>
      </c>
      <c r="E174" s="529">
        <v>2018</v>
      </c>
      <c r="F174" s="529">
        <v>2019</v>
      </c>
      <c r="G174" s="529">
        <v>2020</v>
      </c>
      <c r="H174" s="529">
        <v>2021</v>
      </c>
    </row>
    <row r="175" spans="2:8" x14ac:dyDescent="0.2">
      <c r="B175" s="548" t="s">
        <v>429</v>
      </c>
      <c r="C175" s="544"/>
      <c r="D175" s="544">
        <v>4052000</v>
      </c>
      <c r="E175" s="544">
        <v>6327000</v>
      </c>
      <c r="F175" s="544">
        <v>2078000</v>
      </c>
      <c r="G175" s="544">
        <v>2849000</v>
      </c>
      <c r="H175" s="544">
        <v>0</v>
      </c>
    </row>
    <row r="176" spans="2:8" x14ac:dyDescent="0.2">
      <c r="B176" s="528" t="s">
        <v>430</v>
      </c>
      <c r="C176" s="544"/>
      <c r="D176" s="544">
        <v>2719835.6164383567</v>
      </c>
      <c r="E176" s="544">
        <v>4246890.4109589048</v>
      </c>
      <c r="F176" s="544">
        <v>1394821.9178082196</v>
      </c>
      <c r="G176" s="544">
        <v>718104.10958904121</v>
      </c>
      <c r="H176" s="544">
        <v>0</v>
      </c>
    </row>
    <row r="177" spans="2:8 16384:16384" x14ac:dyDescent="0.2">
      <c r="B177" s="548" t="s">
        <v>431</v>
      </c>
      <c r="C177" s="552"/>
      <c r="D177" s="564">
        <v>3.5000000000000003E-2</v>
      </c>
      <c r="E177" s="564">
        <v>3.5000000000000003E-2</v>
      </c>
      <c r="F177" s="564">
        <v>3.5000000000000003E-2</v>
      </c>
      <c r="G177" s="564">
        <v>3.5000000000000003E-2</v>
      </c>
      <c r="H177" s="564">
        <v>3.5000000000000003E-2</v>
      </c>
    </row>
    <row r="178" spans="2:8 16384:16384" x14ac:dyDescent="0.2">
      <c r="B178" s="548" t="s">
        <v>421</v>
      </c>
      <c r="C178" s="544"/>
      <c r="D178" s="544">
        <v>0</v>
      </c>
      <c r="E178" s="544">
        <v>3956805.7534246575</v>
      </c>
      <c r="F178" s="544">
        <v>9993344.5890410952</v>
      </c>
      <c r="G178" s="544">
        <v>11659260.821917808</v>
      </c>
      <c r="H178" s="544">
        <v>14047132.17808219</v>
      </c>
    </row>
    <row r="179" spans="2:8 16384:16384" x14ac:dyDescent="0.2">
      <c r="B179" s="548" t="s">
        <v>422</v>
      </c>
      <c r="C179" s="544"/>
      <c r="D179" s="544">
        <v>-95194.246575342491</v>
      </c>
      <c r="E179" s="544">
        <v>-290461.1643835617</v>
      </c>
      <c r="F179" s="544">
        <v>-412083.76712328772</v>
      </c>
      <c r="G179" s="544">
        <v>-461128.64383561647</v>
      </c>
      <c r="H179" s="544">
        <v>-535710</v>
      </c>
    </row>
    <row r="180" spans="2:8 16384:16384" x14ac:dyDescent="0.2">
      <c r="B180" s="548" t="s">
        <v>424</v>
      </c>
      <c r="C180" s="544"/>
      <c r="D180" s="544">
        <v>3956805.7534246575</v>
      </c>
      <c r="E180" s="544">
        <v>9993344.5890410952</v>
      </c>
      <c r="F180" s="544">
        <v>11659260.821917808</v>
      </c>
      <c r="G180" s="544">
        <v>14047132.17808219</v>
      </c>
      <c r="H180" s="544">
        <v>13511422.17808219</v>
      </c>
    </row>
    <row r="181" spans="2:8 16384:16384" x14ac:dyDescent="0.2">
      <c r="B181" s="548" t="s">
        <v>423</v>
      </c>
      <c r="C181" s="544"/>
      <c r="D181" s="544">
        <v>4052000</v>
      </c>
      <c r="E181" s="544">
        <v>10379000</v>
      </c>
      <c r="F181" s="544">
        <v>12457000</v>
      </c>
      <c r="G181" s="544">
        <v>15306000</v>
      </c>
      <c r="H181" s="544">
        <v>15306000</v>
      </c>
    </row>
    <row r="182" spans="2:8 16384:16384" x14ac:dyDescent="0.2">
      <c r="B182" s="548" t="s">
        <v>425</v>
      </c>
      <c r="C182" s="544"/>
      <c r="D182" s="544">
        <v>-95194.246575342491</v>
      </c>
      <c r="E182" s="544">
        <v>-385655.41095890419</v>
      </c>
      <c r="F182" s="544">
        <v>-797739.17808219185</v>
      </c>
      <c r="G182" s="544">
        <v>-1258867.8219178084</v>
      </c>
      <c r="H182" s="544">
        <v>-1794577.8219178084</v>
      </c>
    </row>
    <row r="183" spans="2:8 16384:16384" x14ac:dyDescent="0.2">
      <c r="B183" s="548"/>
      <c r="C183" s="585"/>
      <c r="D183" s="544"/>
      <c r="E183" s="544"/>
      <c r="F183" s="544"/>
      <c r="G183" s="544"/>
      <c r="H183" s="544"/>
      <c r="XFD183" s="544"/>
    </row>
    <row r="184" spans="2:8 16384:16384" x14ac:dyDescent="0.2">
      <c r="B184" s="548" t="s">
        <v>471</v>
      </c>
      <c r="C184" s="544">
        <v>30496959.555</v>
      </c>
      <c r="D184" s="544">
        <v>34548959.555</v>
      </c>
      <c r="E184" s="544">
        <v>40875959.555</v>
      </c>
      <c r="F184" s="544">
        <v>42953959.555</v>
      </c>
      <c r="G184" s="544">
        <v>45802959.555</v>
      </c>
      <c r="H184" s="544">
        <v>45802959.555</v>
      </c>
    </row>
    <row r="185" spans="2:8 16384:16384" x14ac:dyDescent="0.2">
      <c r="B185" s="586" t="s">
        <v>472</v>
      </c>
      <c r="C185" s="587">
        <v>14766818.484999999</v>
      </c>
      <c r="D185" s="587">
        <v>17984387.02656357</v>
      </c>
      <c r="E185" s="587">
        <v>23281688.650318917</v>
      </c>
      <c r="F185" s="587">
        <v>24208367.671334542</v>
      </c>
      <c r="G185" s="587">
        <v>25857001.815637834</v>
      </c>
      <c r="H185" s="587">
        <v>24582054.603776745</v>
      </c>
    </row>
    <row r="186" spans="2:8 16384:16384" x14ac:dyDescent="0.2">
      <c r="B186" s="586" t="s">
        <v>355</v>
      </c>
      <c r="C186" s="587">
        <v>0</v>
      </c>
      <c r="D186" s="587">
        <v>-834431.45843643101</v>
      </c>
      <c r="E186" s="587">
        <v>-1029698.3762446502</v>
      </c>
      <c r="F186" s="587">
        <v>-1151320.9789843762</v>
      </c>
      <c r="G186" s="587">
        <v>-1200365.8556967049</v>
      </c>
      <c r="H186" s="587">
        <v>-1274947.2118610884</v>
      </c>
    </row>
    <row r="189" spans="2:8 16384:16384" s="530" customFormat="1" x14ac:dyDescent="0.2">
      <c r="B189" s="529" t="s">
        <v>339</v>
      </c>
    </row>
    <row r="190" spans="2:8 16384:16384" x14ac:dyDescent="0.2">
      <c r="B190" s="540"/>
      <c r="C190" s="540"/>
      <c r="D190" s="540"/>
      <c r="E190" s="540"/>
      <c r="F190" s="540"/>
      <c r="G190" s="540"/>
      <c r="H190" s="540"/>
    </row>
    <row r="191" spans="2:8 16384:16384" x14ac:dyDescent="0.2">
      <c r="B191" s="584" t="s">
        <v>303</v>
      </c>
      <c r="C191" s="529">
        <v>2016</v>
      </c>
      <c r="D191" s="529">
        <v>2017</v>
      </c>
      <c r="E191" s="529">
        <v>2018</v>
      </c>
      <c r="F191" s="529">
        <v>2019</v>
      </c>
      <c r="G191" s="529">
        <v>2020</v>
      </c>
      <c r="H191" s="529">
        <v>2021</v>
      </c>
    </row>
    <row r="192" spans="2:8 16384:16384" x14ac:dyDescent="0.2">
      <c r="B192" s="528" t="s">
        <v>303</v>
      </c>
    </row>
    <row r="193" spans="2:9" x14ac:dyDescent="0.2">
      <c r="B193" s="528" t="s">
        <v>473</v>
      </c>
      <c r="C193" s="546">
        <v>716112422.17638183</v>
      </c>
      <c r="D193" s="544">
        <v>716112422.17638183</v>
      </c>
      <c r="E193" s="544">
        <v>716112422.17638183</v>
      </c>
      <c r="F193" s="544">
        <v>716112422.17638183</v>
      </c>
      <c r="G193" s="544">
        <v>716112422.17638183</v>
      </c>
      <c r="H193" s="544">
        <v>716112422.17638183</v>
      </c>
    </row>
    <row r="194" spans="2:9" x14ac:dyDescent="0.2">
      <c r="B194" s="528" t="s">
        <v>474</v>
      </c>
      <c r="C194" s="588">
        <v>0</v>
      </c>
      <c r="D194" s="544">
        <v>345480168</v>
      </c>
      <c r="E194" s="544">
        <v>345480168</v>
      </c>
      <c r="F194" s="544">
        <v>345480168</v>
      </c>
      <c r="G194" s="544">
        <v>345480168</v>
      </c>
      <c r="H194" s="544">
        <v>345480168</v>
      </c>
    </row>
    <row r="195" spans="2:9" x14ac:dyDescent="0.2">
      <c r="B195" s="528" t="s">
        <v>475</v>
      </c>
      <c r="C195" s="546">
        <v>97333227.92770189</v>
      </c>
      <c r="D195" s="544">
        <v>97333227.92770189</v>
      </c>
      <c r="E195" s="544">
        <v>97333227.92770189</v>
      </c>
      <c r="F195" s="544">
        <v>97333227.92770189</v>
      </c>
      <c r="G195" s="544">
        <v>97333227.92770189</v>
      </c>
      <c r="H195" s="544">
        <v>97333227.92770189</v>
      </c>
    </row>
    <row r="196" spans="2:9" x14ac:dyDescent="0.2">
      <c r="B196" s="528" t="s">
        <v>476</v>
      </c>
      <c r="C196" s="549">
        <v>0</v>
      </c>
      <c r="D196" s="544">
        <v>0</v>
      </c>
      <c r="E196" s="544">
        <v>0</v>
      </c>
      <c r="F196" s="544">
        <v>0</v>
      </c>
      <c r="G196" s="544">
        <v>0</v>
      </c>
      <c r="H196" s="544">
        <v>0</v>
      </c>
    </row>
    <row r="197" spans="2:9" ht="18.75" x14ac:dyDescent="0.3">
      <c r="B197" s="616" t="s">
        <v>477</v>
      </c>
      <c r="C197" s="617">
        <v>73970944.089778915</v>
      </c>
      <c r="D197" s="618">
        <v>74754953.82213901</v>
      </c>
      <c r="E197" s="618">
        <v>85001953.82213901</v>
      </c>
      <c r="F197" s="618">
        <v>89566953.82213901</v>
      </c>
      <c r="G197" s="618">
        <v>93635953.82213901</v>
      </c>
      <c r="H197" s="618">
        <v>93635953.82213901</v>
      </c>
    </row>
    <row r="199" spans="2:9" hidden="1" x14ac:dyDescent="0.2">
      <c r="B199" s="584" t="s">
        <v>322</v>
      </c>
      <c r="C199" s="529">
        <v>2016</v>
      </c>
      <c r="D199" s="529">
        <v>2017</v>
      </c>
      <c r="E199" s="529">
        <v>2018</v>
      </c>
      <c r="F199" s="529">
        <v>2019</v>
      </c>
      <c r="G199" s="529">
        <v>2020</v>
      </c>
      <c r="H199" s="529">
        <v>2021</v>
      </c>
    </row>
    <row r="200" spans="2:9" hidden="1" x14ac:dyDescent="0.2">
      <c r="B200" s="528" t="s">
        <v>473</v>
      </c>
      <c r="C200" s="544"/>
      <c r="D200" s="544">
        <v>0</v>
      </c>
      <c r="E200" s="544">
        <v>0</v>
      </c>
      <c r="F200" s="544">
        <v>0</v>
      </c>
      <c r="G200" s="544">
        <v>0</v>
      </c>
      <c r="H200" s="544">
        <v>0</v>
      </c>
    </row>
    <row r="201" spans="2:9" hidden="1" x14ac:dyDescent="0.2">
      <c r="B201" s="528" t="s">
        <v>474</v>
      </c>
      <c r="D201" s="544">
        <v>10734000</v>
      </c>
      <c r="E201" s="544">
        <v>133198000</v>
      </c>
      <c r="F201" s="544">
        <v>274920000</v>
      </c>
      <c r="G201" s="544">
        <v>232414000</v>
      </c>
      <c r="H201" s="544">
        <v>154141000</v>
      </c>
    </row>
    <row r="202" spans="2:9" hidden="1" x14ac:dyDescent="0.2">
      <c r="B202" s="528" t="s">
        <v>475</v>
      </c>
      <c r="C202" s="589">
        <v>0.7</v>
      </c>
      <c r="D202" s="544">
        <v>4792200</v>
      </c>
      <c r="E202" s="544">
        <v>5657400</v>
      </c>
      <c r="F202" s="544">
        <v>9018800</v>
      </c>
      <c r="G202" s="544">
        <v>5847800</v>
      </c>
      <c r="H202" s="544">
        <v>3154900</v>
      </c>
    </row>
    <row r="203" spans="2:9" hidden="1" x14ac:dyDescent="0.2">
      <c r="B203" s="528" t="s">
        <v>476</v>
      </c>
      <c r="C203" s="590">
        <v>0.30000000000000004</v>
      </c>
      <c r="D203" s="544">
        <v>2053800.0000000002</v>
      </c>
      <c r="E203" s="544">
        <v>2424600.0000000005</v>
      </c>
      <c r="F203" s="544">
        <v>3865200.0000000005</v>
      </c>
      <c r="G203" s="544">
        <v>2506200.0000000005</v>
      </c>
      <c r="H203" s="544">
        <v>1352100.0000000002</v>
      </c>
    </row>
    <row r="204" spans="2:9" hidden="1" x14ac:dyDescent="0.2">
      <c r="D204" s="544"/>
      <c r="E204" s="544"/>
      <c r="F204" s="544"/>
      <c r="G204" s="544"/>
      <c r="H204" s="544"/>
      <c r="I204" s="591"/>
    </row>
    <row r="205" spans="2:9" hidden="1" x14ac:dyDescent="0.2">
      <c r="B205" s="541" t="s">
        <v>478</v>
      </c>
      <c r="C205" s="529">
        <v>2016</v>
      </c>
      <c r="D205" s="529">
        <v>2017</v>
      </c>
      <c r="E205" s="529">
        <v>2018</v>
      </c>
      <c r="F205" s="529">
        <v>2019</v>
      </c>
      <c r="G205" s="529">
        <v>2020</v>
      </c>
      <c r="H205" s="529">
        <v>2021</v>
      </c>
      <c r="I205" s="591"/>
    </row>
    <row r="206" spans="2:9" hidden="1" x14ac:dyDescent="0.2">
      <c r="B206" s="528" t="s">
        <v>473</v>
      </c>
      <c r="D206" s="544">
        <v>0</v>
      </c>
      <c r="E206" s="544">
        <v>0</v>
      </c>
      <c r="F206" s="544">
        <v>0</v>
      </c>
      <c r="G206" s="544">
        <v>0</v>
      </c>
      <c r="H206" s="544">
        <v>0</v>
      </c>
    </row>
    <row r="207" spans="2:9" hidden="1" x14ac:dyDescent="0.2">
      <c r="B207" s="528" t="s">
        <v>474</v>
      </c>
      <c r="D207" s="544">
        <v>10734000</v>
      </c>
      <c r="E207" s="544">
        <v>143932000</v>
      </c>
      <c r="F207" s="544">
        <v>418852000</v>
      </c>
      <c r="G207" s="544">
        <v>651266000</v>
      </c>
      <c r="H207" s="544">
        <v>805407000</v>
      </c>
    </row>
    <row r="208" spans="2:9" hidden="1" x14ac:dyDescent="0.2">
      <c r="B208" s="528" t="s">
        <v>475</v>
      </c>
      <c r="D208" s="544">
        <v>4792200</v>
      </c>
      <c r="E208" s="544">
        <v>10449600</v>
      </c>
      <c r="F208" s="544">
        <v>19468400</v>
      </c>
      <c r="G208" s="544">
        <v>25316200</v>
      </c>
      <c r="H208" s="544">
        <v>28471100</v>
      </c>
    </row>
    <row r="209" spans="2:8" hidden="1" x14ac:dyDescent="0.2">
      <c r="B209" s="528" t="s">
        <v>476</v>
      </c>
      <c r="D209" s="544">
        <v>2053800.0000000002</v>
      </c>
      <c r="E209" s="544">
        <v>4478400.0000000009</v>
      </c>
      <c r="F209" s="544">
        <v>8343600.0000000019</v>
      </c>
      <c r="G209" s="544">
        <v>10849800.000000002</v>
      </c>
      <c r="H209" s="544">
        <v>12201900.000000002</v>
      </c>
    </row>
    <row r="210" spans="2:8" hidden="1" x14ac:dyDescent="0.2">
      <c r="D210" s="544"/>
      <c r="E210" s="544"/>
      <c r="F210" s="544"/>
      <c r="G210" s="544"/>
      <c r="H210" s="544"/>
    </row>
    <row r="211" spans="2:8" hidden="1" x14ac:dyDescent="0.2">
      <c r="B211" s="541" t="s">
        <v>479</v>
      </c>
      <c r="C211" s="529">
        <v>2016</v>
      </c>
      <c r="D211" s="529">
        <v>2017</v>
      </c>
      <c r="E211" s="529">
        <v>2018</v>
      </c>
      <c r="F211" s="529">
        <v>2019</v>
      </c>
      <c r="G211" s="529">
        <v>2020</v>
      </c>
      <c r="H211" s="529">
        <v>2021</v>
      </c>
    </row>
    <row r="212" spans="2:8" hidden="1" x14ac:dyDescent="0.2">
      <c r="B212" s="528" t="s">
        <v>473</v>
      </c>
      <c r="D212" s="544">
        <v>0</v>
      </c>
      <c r="E212" s="544">
        <v>0</v>
      </c>
      <c r="F212" s="544">
        <v>0</v>
      </c>
      <c r="G212" s="544">
        <v>0</v>
      </c>
      <c r="H212" s="544">
        <v>0</v>
      </c>
    </row>
    <row r="213" spans="2:8" hidden="1" x14ac:dyDescent="0.2">
      <c r="B213" s="528" t="s">
        <v>474</v>
      </c>
      <c r="D213" s="544">
        <v>7205013.6986301364</v>
      </c>
      <c r="E213" s="544">
        <v>89406876.712328762</v>
      </c>
      <c r="F213" s="544">
        <v>184535342.46575347</v>
      </c>
      <c r="G213" s="544">
        <v>58581063.013698637</v>
      </c>
      <c r="H213" s="544">
        <v>38851978.082191788</v>
      </c>
    </row>
    <row r="214" spans="2:8" hidden="1" x14ac:dyDescent="0.2">
      <c r="B214" s="528" t="s">
        <v>475</v>
      </c>
      <c r="D214" s="544">
        <v>3216682.1917808214</v>
      </c>
      <c r="E214" s="544">
        <v>3797432.8767123278</v>
      </c>
      <c r="F214" s="544">
        <v>6053715.0684931502</v>
      </c>
      <c r="G214" s="544">
        <v>1473966.0273972603</v>
      </c>
      <c r="H214" s="544">
        <v>795207.67123287672</v>
      </c>
    </row>
    <row r="215" spans="2:8" hidden="1" x14ac:dyDescent="0.2">
      <c r="B215" s="528" t="s">
        <v>476</v>
      </c>
      <c r="D215" s="544">
        <v>1378578.0821917809</v>
      </c>
      <c r="E215" s="544">
        <v>1627471.2328767122</v>
      </c>
      <c r="F215" s="544">
        <v>4044849.3150684931</v>
      </c>
      <c r="G215" s="544">
        <v>865203.28767123306</v>
      </c>
      <c r="H215" s="544">
        <v>340803.28767123295</v>
      </c>
    </row>
    <row r="216" spans="2:8" hidden="1" x14ac:dyDescent="0.2"/>
    <row r="217" spans="2:8" hidden="1" x14ac:dyDescent="0.2">
      <c r="B217" s="541"/>
      <c r="C217" s="529"/>
      <c r="D217" s="581" t="s">
        <v>480</v>
      </c>
      <c r="E217" s="581" t="s">
        <v>481</v>
      </c>
      <c r="F217" s="581" t="s">
        <v>482</v>
      </c>
      <c r="G217" s="581" t="s">
        <v>483</v>
      </c>
      <c r="H217" s="581" t="s">
        <v>484</v>
      </c>
    </row>
    <row r="218" spans="2:8" hidden="1" x14ac:dyDescent="0.2"/>
    <row r="219" spans="2:8" hidden="1" x14ac:dyDescent="0.2">
      <c r="B219" s="592" t="s">
        <v>458</v>
      </c>
      <c r="C219" s="593"/>
      <c r="D219" s="593"/>
      <c r="E219" s="593"/>
      <c r="F219" s="593"/>
      <c r="G219" s="593"/>
      <c r="H219" s="593"/>
    </row>
    <row r="220" spans="2:8" hidden="1" x14ac:dyDescent="0.2">
      <c r="B220" s="528" t="s">
        <v>485</v>
      </c>
      <c r="E220" s="544">
        <v>0</v>
      </c>
      <c r="F220" s="544">
        <v>0</v>
      </c>
      <c r="G220" s="544">
        <v>0</v>
      </c>
      <c r="H220" s="544">
        <v>0</v>
      </c>
    </row>
    <row r="221" spans="2:8" hidden="1" x14ac:dyDescent="0.2">
      <c r="B221" s="528" t="s">
        <v>486</v>
      </c>
      <c r="D221" s="576">
        <v>0</v>
      </c>
      <c r="E221" s="576">
        <v>0</v>
      </c>
      <c r="F221" s="576">
        <v>0</v>
      </c>
      <c r="G221" s="576">
        <v>0</v>
      </c>
      <c r="H221" s="576">
        <v>0</v>
      </c>
    </row>
    <row r="222" spans="2:8" hidden="1" x14ac:dyDescent="0.2">
      <c r="B222" s="592" t="s">
        <v>487</v>
      </c>
      <c r="C222" s="593"/>
      <c r="D222" s="593"/>
      <c r="E222" s="593"/>
      <c r="F222" s="593"/>
      <c r="G222" s="593"/>
      <c r="H222" s="593"/>
    </row>
    <row r="223" spans="2:8" hidden="1" x14ac:dyDescent="0.2">
      <c r="B223" s="528" t="s">
        <v>485</v>
      </c>
      <c r="E223" s="544">
        <v>3528986.3013698636</v>
      </c>
      <c r="F223" s="544">
        <v>43791123.287671238</v>
      </c>
      <c r="G223" s="544">
        <v>90384657.534246534</v>
      </c>
      <c r="H223" s="544">
        <v>173832936.98630136</v>
      </c>
    </row>
    <row r="224" spans="2:8" hidden="1" x14ac:dyDescent="0.2">
      <c r="B224" s="528" t="s">
        <v>486</v>
      </c>
      <c r="D224" s="576">
        <v>7205013.6986301364</v>
      </c>
      <c r="E224" s="576">
        <v>89406876.712328762</v>
      </c>
      <c r="F224" s="576">
        <v>184535342.46575347</v>
      </c>
      <c r="G224" s="576">
        <v>58581063.013698637</v>
      </c>
      <c r="H224" s="576">
        <v>38851978.082191788</v>
      </c>
    </row>
    <row r="225" spans="2:36" hidden="1" x14ac:dyDescent="0.2">
      <c r="B225" s="592" t="s">
        <v>488</v>
      </c>
      <c r="C225" s="593"/>
      <c r="D225" s="593"/>
      <c r="E225" s="593"/>
      <c r="F225" s="593"/>
      <c r="G225" s="593"/>
      <c r="H225" s="593"/>
    </row>
    <row r="226" spans="2:36" hidden="1" x14ac:dyDescent="0.2">
      <c r="B226" s="528" t="s">
        <v>485</v>
      </c>
      <c r="E226" s="544">
        <v>1575517.8082191786</v>
      </c>
      <c r="F226" s="544">
        <v>1859967.1232876722</v>
      </c>
      <c r="G226" s="544">
        <v>1721884.9315068503</v>
      </c>
      <c r="H226" s="544">
        <v>3161265.2054794524</v>
      </c>
    </row>
    <row r="227" spans="2:36" hidden="1" x14ac:dyDescent="0.2">
      <c r="B227" s="528" t="s">
        <v>486</v>
      </c>
      <c r="D227" s="576">
        <v>3216682.1917808214</v>
      </c>
      <c r="E227" s="576">
        <v>3797432.8767123278</v>
      </c>
      <c r="F227" s="576">
        <v>3515515.0684931497</v>
      </c>
      <c r="G227" s="576">
        <v>1065334.7945205478</v>
      </c>
      <c r="H227" s="576">
        <v>795207.67123287672</v>
      </c>
    </row>
    <row r="228" spans="2:36" hidden="1" x14ac:dyDescent="0.2">
      <c r="B228" s="592" t="s">
        <v>489</v>
      </c>
      <c r="C228" s="593"/>
      <c r="D228" s="593"/>
      <c r="E228" s="593"/>
      <c r="F228" s="593"/>
      <c r="G228" s="593"/>
      <c r="H228" s="593"/>
    </row>
    <row r="229" spans="2:36" hidden="1" x14ac:dyDescent="0.2">
      <c r="B229" s="528" t="s">
        <v>485</v>
      </c>
      <c r="E229" s="544">
        <v>675221.91780821932</v>
      </c>
      <c r="F229" s="544">
        <v>797128.76712328824</v>
      </c>
      <c r="G229" s="544">
        <v>737950.68493150733</v>
      </c>
      <c r="H229" s="544">
        <v>1354827.9452054796</v>
      </c>
    </row>
    <row r="230" spans="2:36" hidden="1" x14ac:dyDescent="0.2">
      <c r="B230" s="528" t="s">
        <v>486</v>
      </c>
      <c r="D230" s="576">
        <v>1378578.0821917809</v>
      </c>
      <c r="E230" s="576">
        <v>1627471.2328767122</v>
      </c>
      <c r="F230" s="576">
        <v>1506649.3150684931</v>
      </c>
      <c r="G230" s="576">
        <v>456572.05479452061</v>
      </c>
      <c r="H230" s="576">
        <v>340803.28767123295</v>
      </c>
    </row>
    <row r="231" spans="2:36" hidden="1" x14ac:dyDescent="0.2">
      <c r="D231" s="576"/>
      <c r="E231" s="576"/>
      <c r="F231" s="576"/>
      <c r="G231" s="576"/>
      <c r="H231" s="576"/>
    </row>
    <row r="232" spans="2:36" hidden="1" x14ac:dyDescent="0.2">
      <c r="B232" s="592" t="s">
        <v>458</v>
      </c>
      <c r="C232" s="593"/>
      <c r="D232" s="593"/>
      <c r="E232" s="593"/>
      <c r="F232" s="593"/>
      <c r="G232" s="593"/>
      <c r="H232" s="593"/>
    </row>
    <row r="233" spans="2:36" hidden="1" x14ac:dyDescent="0.2">
      <c r="B233" s="528" t="s">
        <v>490</v>
      </c>
      <c r="D233" s="594"/>
      <c r="E233" s="595">
        <v>0.75</v>
      </c>
      <c r="F233" s="595">
        <v>0.75</v>
      </c>
      <c r="G233" s="595">
        <v>0.75</v>
      </c>
      <c r="H233" s="595">
        <v>0.75</v>
      </c>
    </row>
    <row r="234" spans="2:36" hidden="1" x14ac:dyDescent="0.2">
      <c r="B234" s="528" t="s">
        <v>491</v>
      </c>
      <c r="D234" s="594"/>
      <c r="E234" s="595">
        <v>0.25</v>
      </c>
      <c r="F234" s="595">
        <v>0.25</v>
      </c>
      <c r="G234" s="595">
        <v>0.25</v>
      </c>
      <c r="H234" s="595">
        <v>0.25</v>
      </c>
    </row>
    <row r="235" spans="2:36" hidden="1" x14ac:dyDescent="0.2">
      <c r="B235" s="592" t="s">
        <v>487</v>
      </c>
      <c r="C235" s="593"/>
      <c r="D235" s="593"/>
      <c r="E235" s="593"/>
      <c r="F235" s="593"/>
      <c r="G235" s="593"/>
      <c r="H235" s="593"/>
    </row>
    <row r="236" spans="2:36" hidden="1" x14ac:dyDescent="0.2">
      <c r="B236" s="528" t="s">
        <v>490</v>
      </c>
      <c r="D236" s="594"/>
      <c r="E236" s="595">
        <v>0.75</v>
      </c>
      <c r="F236" s="595">
        <v>0.75</v>
      </c>
      <c r="G236" s="595">
        <v>0.75</v>
      </c>
      <c r="H236" s="595">
        <v>0.75</v>
      </c>
    </row>
    <row r="237" spans="2:36" hidden="1" x14ac:dyDescent="0.2">
      <c r="B237" s="528" t="s">
        <v>491</v>
      </c>
      <c r="D237" s="594"/>
      <c r="E237" s="595">
        <v>0.25</v>
      </c>
      <c r="F237" s="595">
        <v>0.25</v>
      </c>
      <c r="G237" s="595">
        <v>0.25</v>
      </c>
      <c r="H237" s="595">
        <v>0.25</v>
      </c>
    </row>
    <row r="238" spans="2:36" hidden="1" x14ac:dyDescent="0.2">
      <c r="B238" s="592" t="s">
        <v>488</v>
      </c>
      <c r="C238" s="593"/>
      <c r="D238" s="593"/>
      <c r="E238" s="596"/>
      <c r="F238" s="596"/>
      <c r="G238" s="596"/>
      <c r="H238" s="596"/>
    </row>
    <row r="239" spans="2:36" hidden="1" x14ac:dyDescent="0.2">
      <c r="B239" s="528" t="s">
        <v>490</v>
      </c>
      <c r="D239" s="594"/>
      <c r="E239" s="595">
        <v>0.75</v>
      </c>
      <c r="F239" s="595">
        <v>0.75</v>
      </c>
      <c r="G239" s="595">
        <v>0.75</v>
      </c>
      <c r="H239" s="595">
        <v>0.75</v>
      </c>
    </row>
    <row r="240" spans="2:36" hidden="1" x14ac:dyDescent="0.2">
      <c r="B240" s="528" t="s">
        <v>491</v>
      </c>
      <c r="D240" s="594"/>
      <c r="E240" s="595">
        <v>0.25</v>
      </c>
      <c r="F240" s="595">
        <v>0.25</v>
      </c>
      <c r="G240" s="595">
        <v>0.25</v>
      </c>
      <c r="H240" s="595">
        <v>0.25</v>
      </c>
      <c r="AH240" s="528" t="s">
        <v>40</v>
      </c>
      <c r="AI240" s="528">
        <v>2016</v>
      </c>
      <c r="AJ240" s="528" t="s">
        <v>492</v>
      </c>
    </row>
    <row r="241" spans="2:36" hidden="1" x14ac:dyDescent="0.2">
      <c r="B241" s="592" t="s">
        <v>489</v>
      </c>
      <c r="C241" s="593"/>
      <c r="D241" s="593"/>
      <c r="E241" s="593"/>
      <c r="F241" s="593"/>
      <c r="G241" s="593"/>
      <c r="H241" s="593"/>
      <c r="AH241" s="528" t="s">
        <v>493</v>
      </c>
      <c r="AI241" s="597">
        <v>694913522.67720389</v>
      </c>
      <c r="AJ241" s="547">
        <v>0.87005029167638925</v>
      </c>
    </row>
    <row r="242" spans="2:36" hidden="1" x14ac:dyDescent="0.2">
      <c r="B242" s="528" t="s">
        <v>490</v>
      </c>
      <c r="D242" s="594"/>
      <c r="E242" s="595">
        <v>0.75</v>
      </c>
      <c r="F242" s="595">
        <v>0.75</v>
      </c>
      <c r="G242" s="595">
        <v>0.75</v>
      </c>
      <c r="H242" s="595">
        <v>0.75</v>
      </c>
      <c r="AH242" s="528" t="s">
        <v>494</v>
      </c>
      <c r="AI242" s="597">
        <v>103791482.45331949</v>
      </c>
      <c r="AJ242" s="547">
        <v>0.12994970832361066</v>
      </c>
    </row>
    <row r="243" spans="2:36" hidden="1" x14ac:dyDescent="0.2">
      <c r="B243" s="528" t="s">
        <v>491</v>
      </c>
      <c r="D243" s="594"/>
      <c r="E243" s="595">
        <v>0.25</v>
      </c>
      <c r="F243" s="595">
        <v>0.25</v>
      </c>
      <c r="G243" s="595">
        <v>0.25</v>
      </c>
      <c r="H243" s="595">
        <v>0.25</v>
      </c>
      <c r="AH243" s="528" t="s">
        <v>360</v>
      </c>
      <c r="AI243" s="597">
        <v>798705005.13052344</v>
      </c>
    </row>
    <row r="244" spans="2:36" hidden="1" x14ac:dyDescent="0.2">
      <c r="D244" s="594"/>
      <c r="E244" s="594"/>
      <c r="F244" s="594"/>
      <c r="G244" s="594"/>
      <c r="H244" s="594"/>
    </row>
    <row r="245" spans="2:36" hidden="1" x14ac:dyDescent="0.2">
      <c r="B245" s="598" t="s">
        <v>495</v>
      </c>
      <c r="C245" s="598"/>
      <c r="D245" s="599"/>
      <c r="E245" s="600">
        <v>2130996.5753424661</v>
      </c>
      <c r="F245" s="600">
        <v>2273854.1095890417</v>
      </c>
      <c r="G245" s="600">
        <v>1557747.3972602747</v>
      </c>
      <c r="H245" s="600">
        <v>2569750.8219178086</v>
      </c>
    </row>
    <row r="246" spans="2:36" hidden="1" x14ac:dyDescent="0.2">
      <c r="B246" s="598" t="s">
        <v>496</v>
      </c>
      <c r="C246" s="598"/>
      <c r="D246" s="599"/>
      <c r="E246" s="600">
        <v>25911743.15068493</v>
      </c>
      <c r="F246" s="600">
        <v>79951686.986301377</v>
      </c>
      <c r="G246" s="600">
        <v>83101364.931506813</v>
      </c>
      <c r="H246" s="600">
        <v>141189019.04109588</v>
      </c>
    </row>
    <row r="248" spans="2:36" s="530" customFormat="1" hidden="1" x14ac:dyDescent="0.2">
      <c r="B248" s="529" t="s">
        <v>497</v>
      </c>
    </row>
    <row r="249" spans="2:36" hidden="1" x14ac:dyDescent="0.2"/>
    <row r="250" spans="2:36" hidden="1" x14ac:dyDescent="0.2">
      <c r="B250" s="541"/>
      <c r="C250" s="529">
        <v>2016</v>
      </c>
      <c r="D250" s="529">
        <v>2017</v>
      </c>
      <c r="E250" s="529">
        <v>2018</v>
      </c>
      <c r="F250" s="529">
        <v>2019</v>
      </c>
      <c r="G250" s="529">
        <v>2020</v>
      </c>
      <c r="H250" s="529">
        <v>2021</v>
      </c>
    </row>
    <row r="251" spans="2:36" hidden="1" x14ac:dyDescent="0.2">
      <c r="B251" s="528" t="s">
        <v>431</v>
      </c>
      <c r="C251" s="601">
        <v>3.5000000000000003E-2</v>
      </c>
      <c r="D251" s="602">
        <v>3.5000000000000003E-2</v>
      </c>
      <c r="E251" s="602">
        <v>3.5000000000000003E-2</v>
      </c>
      <c r="F251" s="602">
        <v>3.5000000000000003E-2</v>
      </c>
      <c r="G251" s="602">
        <v>3.5000000000000003E-2</v>
      </c>
      <c r="H251" s="602">
        <v>3.5000000000000003E-2</v>
      </c>
    </row>
    <row r="252" spans="2:36" hidden="1" x14ac:dyDescent="0.2">
      <c r="B252" s="528" t="s">
        <v>433</v>
      </c>
      <c r="C252" s="601">
        <v>3.5000000000000003E-2</v>
      </c>
      <c r="D252" s="602">
        <v>3.5000000000000003E-2</v>
      </c>
      <c r="E252" s="602">
        <v>3.5000000000000003E-2</v>
      </c>
      <c r="F252" s="602">
        <v>3.5000000000000003E-2</v>
      </c>
      <c r="G252" s="602">
        <v>3.5000000000000003E-2</v>
      </c>
      <c r="H252" s="602">
        <v>3.5000000000000003E-2</v>
      </c>
    </row>
    <row r="253" spans="2:36" hidden="1" x14ac:dyDescent="0.2">
      <c r="B253" s="528" t="s">
        <v>420</v>
      </c>
      <c r="C253" s="544"/>
      <c r="D253" s="544">
        <v>0</v>
      </c>
      <c r="E253" s="544">
        <v>0</v>
      </c>
      <c r="F253" s="544">
        <v>0</v>
      </c>
      <c r="G253" s="544">
        <v>0</v>
      </c>
      <c r="H253" s="544">
        <v>0</v>
      </c>
    </row>
    <row r="254" spans="2:36" hidden="1" x14ac:dyDescent="0.2">
      <c r="B254" s="528" t="s">
        <v>421</v>
      </c>
      <c r="C254" s="544"/>
      <c r="D254" s="544">
        <v>0</v>
      </c>
      <c r="E254" s="544">
        <v>0</v>
      </c>
      <c r="F254" s="544">
        <v>0</v>
      </c>
      <c r="G254" s="544">
        <v>0</v>
      </c>
      <c r="H254" s="544">
        <v>0</v>
      </c>
    </row>
    <row r="255" spans="2:36" hidden="1" x14ac:dyDescent="0.2">
      <c r="B255" s="528" t="s">
        <v>422</v>
      </c>
      <c r="C255" s="544"/>
      <c r="D255" s="544">
        <v>0</v>
      </c>
      <c r="E255" s="544">
        <v>0</v>
      </c>
      <c r="F255" s="544">
        <v>0</v>
      </c>
      <c r="G255" s="544">
        <v>0</v>
      </c>
      <c r="H255" s="544">
        <v>0</v>
      </c>
    </row>
    <row r="256" spans="2:36" hidden="1" x14ac:dyDescent="0.2">
      <c r="B256" s="528" t="s">
        <v>434</v>
      </c>
      <c r="C256" s="544"/>
      <c r="D256" s="544"/>
      <c r="E256" s="544"/>
      <c r="F256" s="544"/>
      <c r="G256" s="544"/>
      <c r="H256" s="544"/>
    </row>
    <row r="257" spans="2:8" hidden="1" x14ac:dyDescent="0.2">
      <c r="B257" s="528" t="s">
        <v>423</v>
      </c>
      <c r="C257" s="546">
        <v>0</v>
      </c>
      <c r="D257" s="588">
        <v>0</v>
      </c>
      <c r="E257" s="588">
        <v>0</v>
      </c>
      <c r="F257" s="588">
        <v>0</v>
      </c>
      <c r="G257" s="588">
        <v>0</v>
      </c>
      <c r="H257" s="588">
        <v>0</v>
      </c>
    </row>
    <row r="258" spans="2:8" hidden="1" x14ac:dyDescent="0.2">
      <c r="B258" s="528" t="s">
        <v>424</v>
      </c>
      <c r="C258" s="546">
        <v>0</v>
      </c>
      <c r="D258" s="544">
        <v>0</v>
      </c>
      <c r="E258" s="544">
        <v>0</v>
      </c>
      <c r="F258" s="544">
        <v>0</v>
      </c>
      <c r="G258" s="544">
        <v>0</v>
      </c>
      <c r="H258" s="544">
        <v>0</v>
      </c>
    </row>
    <row r="259" spans="2:8" hidden="1" x14ac:dyDescent="0.2">
      <c r="B259" s="528" t="s">
        <v>425</v>
      </c>
      <c r="C259" s="546">
        <v>0</v>
      </c>
      <c r="D259" s="544">
        <v>0</v>
      </c>
      <c r="E259" s="544">
        <v>0</v>
      </c>
      <c r="F259" s="544">
        <v>0</v>
      </c>
      <c r="G259" s="544">
        <v>0</v>
      </c>
      <c r="H259" s="544">
        <v>0</v>
      </c>
    </row>
    <row r="260" spans="2:8" hidden="1" x14ac:dyDescent="0.2">
      <c r="B260" s="528" t="s">
        <v>426</v>
      </c>
      <c r="C260" s="544">
        <v>0</v>
      </c>
      <c r="D260" s="544">
        <v>0</v>
      </c>
      <c r="E260" s="544">
        <v>0</v>
      </c>
      <c r="F260" s="544">
        <v>0</v>
      </c>
      <c r="G260" s="544">
        <v>0</v>
      </c>
      <c r="H260" s="544">
        <v>0</v>
      </c>
    </row>
    <row r="261" spans="2:8" hidden="1" x14ac:dyDescent="0.2"/>
    <row r="262" spans="2:8" x14ac:dyDescent="0.2">
      <c r="B262" s="584" t="s">
        <v>498</v>
      </c>
      <c r="C262" s="529">
        <v>2016</v>
      </c>
      <c r="D262" s="529">
        <v>2017</v>
      </c>
      <c r="E262" s="529">
        <v>2018</v>
      </c>
      <c r="F262" s="529">
        <v>2019</v>
      </c>
      <c r="G262" s="529">
        <v>2020</v>
      </c>
      <c r="H262" s="529">
        <v>2021</v>
      </c>
    </row>
    <row r="264" spans="2:8" x14ac:dyDescent="0.2">
      <c r="B264" s="528" t="s">
        <v>499</v>
      </c>
      <c r="C264" s="544">
        <v>702522925.19525671</v>
      </c>
      <c r="D264" s="544">
        <v>702522925.19525671</v>
      </c>
      <c r="E264" s="544">
        <v>702522925.19525671</v>
      </c>
      <c r="F264" s="544">
        <v>702522925.19525671</v>
      </c>
      <c r="G264" s="544">
        <v>702522925.19525671</v>
      </c>
      <c r="H264" s="544">
        <v>702522925.19525671</v>
      </c>
    </row>
    <row r="265" spans="2:8" x14ac:dyDescent="0.2">
      <c r="B265" s="528" t="s">
        <v>500</v>
      </c>
      <c r="C265" s="544">
        <v>59509771.119677946</v>
      </c>
      <c r="D265" s="544">
        <v>37090475.407267749</v>
      </c>
      <c r="E265" s="544">
        <v>35820847.100850888</v>
      </c>
      <c r="F265" s="544">
        <v>35313189.171780929</v>
      </c>
      <c r="G265" s="544">
        <v>35031801.633953579</v>
      </c>
      <c r="H265" s="544">
        <v>35569435.555025764</v>
      </c>
    </row>
    <row r="266" spans="2:8" x14ac:dyDescent="0.2">
      <c r="B266" s="528" t="s">
        <v>501</v>
      </c>
      <c r="C266" s="544">
        <v>36672308.815588608</v>
      </c>
      <c r="D266" s="544">
        <v>36672308.815588608</v>
      </c>
      <c r="E266" s="544">
        <v>36672308.815588608</v>
      </c>
      <c r="F266" s="544">
        <v>36672308.815588608</v>
      </c>
      <c r="G266" s="544">
        <v>36672308.815588608</v>
      </c>
      <c r="H266" s="544">
        <v>36672308.815588608</v>
      </c>
    </row>
    <row r="267" spans="2:8" x14ac:dyDescent="0.2">
      <c r="B267" s="603" t="s">
        <v>502</v>
      </c>
      <c r="C267" s="604">
        <v>798705005.1305232</v>
      </c>
      <c r="D267" s="604">
        <v>776285709.41811311</v>
      </c>
      <c r="E267" s="604">
        <v>775016081.11169624</v>
      </c>
      <c r="F267" s="604">
        <v>774508423.18262625</v>
      </c>
      <c r="G267" s="604">
        <v>774227035.64479887</v>
      </c>
      <c r="H267" s="604">
        <v>774764669.56587112</v>
      </c>
    </row>
    <row r="268" spans="2:8" x14ac:dyDescent="0.2">
      <c r="B268" s="528" t="s">
        <v>503</v>
      </c>
      <c r="C268" s="544"/>
      <c r="D268" s="544">
        <v>1842000</v>
      </c>
      <c r="E268" s="544">
        <v>91709000</v>
      </c>
      <c r="F268" s="544">
        <v>193381000</v>
      </c>
      <c r="G268" s="544">
        <v>74963000</v>
      </c>
      <c r="H268" s="544">
        <v>764000</v>
      </c>
    </row>
    <row r="269" spans="2:8" ht="18.75" x14ac:dyDescent="0.3">
      <c r="B269" s="528" t="s">
        <v>504</v>
      </c>
      <c r="C269" s="615">
        <v>65601620.907903925</v>
      </c>
      <c r="D269" s="544">
        <v>65605672.907903925</v>
      </c>
      <c r="E269" s="544">
        <v>65611999.907903925</v>
      </c>
      <c r="F269" s="544">
        <v>65614077.907903925</v>
      </c>
      <c r="G269" s="544">
        <v>65616926.907903925</v>
      </c>
      <c r="H269" s="544">
        <v>65616926.907903925</v>
      </c>
    </row>
    <row r="270" spans="2:8" x14ac:dyDescent="0.2">
      <c r="B270" s="605" t="s">
        <v>1</v>
      </c>
      <c r="C270" s="606">
        <v>864306626.03842711</v>
      </c>
      <c r="D270" s="606">
        <v>843733382.32601702</v>
      </c>
      <c r="E270" s="606">
        <v>932337081.01960015</v>
      </c>
      <c r="F270" s="606">
        <v>1033503501.0905302</v>
      </c>
      <c r="G270" s="606">
        <v>914806962.55270278</v>
      </c>
      <c r="H270" s="606">
        <v>841145596.47377503</v>
      </c>
    </row>
    <row r="272" spans="2:8" s="530" customFormat="1" x14ac:dyDescent="0.2">
      <c r="B272" s="529" t="s">
        <v>505</v>
      </c>
    </row>
    <row r="273" spans="2:8" ht="15.75" x14ac:dyDescent="0.25">
      <c r="B273" s="607"/>
      <c r="C273"/>
      <c r="D273"/>
      <c r="E273"/>
      <c r="F273"/>
    </row>
    <row r="274" spans="2:8" x14ac:dyDescent="0.2">
      <c r="B274" s="608" t="s">
        <v>506</v>
      </c>
      <c r="C274" s="582" t="s">
        <v>507</v>
      </c>
      <c r="D274" s="576">
        <v>13366831.17</v>
      </c>
      <c r="E274"/>
      <c r="F274"/>
      <c r="G274"/>
      <c r="H274"/>
    </row>
    <row r="275" spans="2:8" x14ac:dyDescent="0.2">
      <c r="B275" s="608" t="s">
        <v>508</v>
      </c>
      <c r="C275" s="582" t="s">
        <v>509</v>
      </c>
      <c r="D275" s="609">
        <v>1.9107183478632885</v>
      </c>
      <c r="E275"/>
      <c r="F275"/>
      <c r="G275"/>
      <c r="H275" s="610"/>
    </row>
    <row r="276" spans="2:8" x14ac:dyDescent="0.2">
      <c r="B276" s="608" t="s">
        <v>510</v>
      </c>
      <c r="C276" s="582" t="s">
        <v>507</v>
      </c>
      <c r="D276" s="576">
        <v>25540249.569309909</v>
      </c>
      <c r="E276"/>
      <c r="F276" s="10"/>
      <c r="G276"/>
      <c r="H276" s="610"/>
    </row>
    <row r="277" spans="2:8" x14ac:dyDescent="0.2">
      <c r="B277" s="608" t="s">
        <v>511</v>
      </c>
      <c r="C277" s="611" t="s">
        <v>18</v>
      </c>
      <c r="D277" s="612">
        <v>0.1</v>
      </c>
      <c r="E277" s="10"/>
      <c r="F277" s="10"/>
      <c r="G277"/>
      <c r="H277" s="610"/>
    </row>
    <row r="278" spans="2:8" x14ac:dyDescent="0.2">
      <c r="F278"/>
      <c r="G278"/>
      <c r="H278"/>
    </row>
    <row r="279" spans="2:8" x14ac:dyDescent="0.2">
      <c r="B279" s="584" t="s">
        <v>512</v>
      </c>
      <c r="C279" s="529">
        <v>2016</v>
      </c>
      <c r="D279" s="529">
        <v>2017</v>
      </c>
      <c r="E279" s="529">
        <v>2018</v>
      </c>
      <c r="F279" s="529">
        <v>2019</v>
      </c>
      <c r="G279" s="529">
        <v>2020</v>
      </c>
      <c r="H279" s="529">
        <v>2021</v>
      </c>
    </row>
    <row r="280" spans="2:8" x14ac:dyDescent="0.2">
      <c r="B280" s="539" t="s">
        <v>513</v>
      </c>
      <c r="C280" s="576">
        <v>381041599.13403386</v>
      </c>
      <c r="D280" s="576">
        <v>726521767.1340338</v>
      </c>
      <c r="E280" s="576">
        <v>726521767.1340338</v>
      </c>
      <c r="F280" s="576">
        <v>726521767.1340338</v>
      </c>
      <c r="G280" s="576">
        <v>726521767.1340338</v>
      </c>
      <c r="H280" s="576">
        <v>726521767.1340338</v>
      </c>
    </row>
    <row r="281" spans="2:8" x14ac:dyDescent="0.2">
      <c r="B281" s="539" t="s">
        <v>514</v>
      </c>
      <c r="C281" s="544">
        <v>32277520.829999998</v>
      </c>
      <c r="D281" s="544">
        <v>38357520.829999998</v>
      </c>
      <c r="E281" s="544">
        <v>37044520.829999998</v>
      </c>
      <c r="F281" s="544">
        <v>36519520.829999998</v>
      </c>
      <c r="G281" s="544">
        <v>36228520.829999998</v>
      </c>
      <c r="H281" s="544">
        <v>36784520.829999998</v>
      </c>
    </row>
    <row r="282" spans="2:8" x14ac:dyDescent="0.2">
      <c r="B282" s="539" t="s">
        <v>515</v>
      </c>
      <c r="C282" s="613">
        <v>8.4708653604632214E-2</v>
      </c>
      <c r="D282" s="613">
        <v>5.2796106827345111E-2</v>
      </c>
      <c r="E282" s="614">
        <v>5.0988865724054443E-2</v>
      </c>
      <c r="F282" s="613">
        <v>5.0266244566988486E-2</v>
      </c>
      <c r="G282" s="613">
        <v>4.986570598278621E-2</v>
      </c>
      <c r="H282" s="613">
        <v>5.0630996198650351E-2</v>
      </c>
    </row>
    <row r="283" spans="2:8" x14ac:dyDescent="0.2">
      <c r="B283" s="539" t="s">
        <v>516</v>
      </c>
      <c r="C283" s="544">
        <v>38104159.913403384</v>
      </c>
      <c r="D283" s="544">
        <v>72652176.713403389</v>
      </c>
      <c r="E283" s="544">
        <v>72652176.713403389</v>
      </c>
      <c r="F283" s="544">
        <v>72652176.713403389</v>
      </c>
      <c r="G283" s="544">
        <v>72652176.713403389</v>
      </c>
      <c r="H283" s="544">
        <v>72652176.713403389</v>
      </c>
    </row>
    <row r="284" spans="2:8" x14ac:dyDescent="0.2">
      <c r="B284" s="539" t="s">
        <v>517</v>
      </c>
      <c r="C284" s="544">
        <v>45644352</v>
      </c>
      <c r="D284" s="544">
        <v>51724352</v>
      </c>
      <c r="E284" s="544">
        <v>50411352</v>
      </c>
      <c r="F284" s="544">
        <v>49886352</v>
      </c>
      <c r="G284" s="544">
        <v>49595352</v>
      </c>
      <c r="H284" s="544">
        <v>50151352</v>
      </c>
    </row>
    <row r="285" spans="2:8" x14ac:dyDescent="0.2">
      <c r="B285" s="539" t="s">
        <v>518</v>
      </c>
      <c r="C285" s="613">
        <v>8.4708653604632214E-2</v>
      </c>
      <c r="D285" s="613">
        <v>5.2796106827345111E-2</v>
      </c>
      <c r="E285" s="613">
        <v>5.0988865724054443E-2</v>
      </c>
      <c r="F285" s="613">
        <v>5.0266244566988486E-2</v>
      </c>
      <c r="G285" s="613">
        <v>4.986570598278621E-2</v>
      </c>
      <c r="H285" s="613">
        <v>5.0630996198650351E-2</v>
      </c>
    </row>
    <row r="286" spans="2:8" x14ac:dyDescent="0.2">
      <c r="E286" s="577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8" tint="-0.499984740745262"/>
    <pageSetUpPr fitToPage="1"/>
  </sheetPr>
  <dimension ref="A1:P284"/>
  <sheetViews>
    <sheetView showGridLines="0" zoomScale="70" zoomScaleNormal="70" workbookViewId="0">
      <pane ySplit="4" topLeftCell="A153" activePane="bottomLeft" state="frozen"/>
      <selection activeCell="E166" sqref="E166"/>
      <selection pane="bottomLeft" activeCell="E166" sqref="E166"/>
    </sheetView>
  </sheetViews>
  <sheetFormatPr baseColWidth="10" defaultColWidth="9.28515625" defaultRowHeight="12.75" outlineLevelRow="2" outlineLevelCol="2" x14ac:dyDescent="0.2"/>
  <cols>
    <col min="1" max="1" width="3.7109375" style="301" customWidth="1" collapsed="1"/>
    <col min="2" max="2" width="50.5703125" style="301" customWidth="1" collapsed="1"/>
    <col min="3" max="3" width="11.7109375" style="301" customWidth="1" outlineLevel="2" collapsed="1"/>
    <col min="4" max="4" width="15.5703125" style="301" customWidth="1" outlineLevel="1"/>
    <col min="5" max="5" width="15.5703125" style="301" customWidth="1"/>
    <col min="6" max="9" width="15.5703125" style="301" customWidth="1" collapsed="1"/>
    <col min="10" max="10" width="15.7109375" style="301" customWidth="1" collapsed="1"/>
    <col min="11" max="11" width="15.7109375" style="301" customWidth="1" outlineLevel="1" collapsed="1"/>
    <col min="12" max="12" width="118" style="301" bestFit="1" customWidth="1" outlineLevel="1" collapsed="1"/>
    <col min="13" max="13" width="10.7109375" style="301" customWidth="1"/>
    <col min="14" max="14" width="10.42578125" style="301" customWidth="1" collapsed="1"/>
    <col min="15" max="15" width="10.5703125" style="301" customWidth="1" collapsed="1"/>
    <col min="16" max="16384" width="9.28515625" style="301" collapsed="1"/>
  </cols>
  <sheetData>
    <row r="1" spans="2:14" s="297" customFormat="1" ht="15" x14ac:dyDescent="0.25">
      <c r="B1" s="296"/>
      <c r="C1" s="296"/>
      <c r="D1" s="296"/>
      <c r="E1" s="296"/>
      <c r="F1" s="296"/>
      <c r="G1" s="296"/>
      <c r="H1" s="296"/>
      <c r="I1" s="296"/>
    </row>
    <row r="2" spans="2:14" s="297" customFormat="1" x14ac:dyDescent="0.2">
      <c r="B2" s="1808" t="s">
        <v>309</v>
      </c>
      <c r="C2" s="1808"/>
      <c r="D2" s="1808"/>
      <c r="E2" s="1808"/>
      <c r="F2" s="1808"/>
      <c r="G2" s="1808"/>
      <c r="H2" s="1808"/>
      <c r="I2" s="1808"/>
    </row>
    <row r="3" spans="2:14" s="297" customFormat="1" x14ac:dyDescent="0.2">
      <c r="B3" s="1808" t="s">
        <v>310</v>
      </c>
      <c r="C3" s="1808"/>
      <c r="D3" s="1808"/>
      <c r="E3" s="1808"/>
      <c r="F3" s="1808"/>
      <c r="G3" s="1808"/>
      <c r="H3" s="1808"/>
      <c r="I3" s="1808"/>
    </row>
    <row r="4" spans="2:14" s="297" customFormat="1" x14ac:dyDescent="0.2">
      <c r="B4" s="1808" t="s">
        <v>69</v>
      </c>
      <c r="C4" s="1808"/>
      <c r="D4" s="1808"/>
      <c r="E4" s="1808"/>
      <c r="F4" s="1808"/>
      <c r="G4" s="1808"/>
      <c r="H4" s="1808"/>
      <c r="I4" s="1808"/>
    </row>
    <row r="5" spans="2:14" s="297" customFormat="1" x14ac:dyDescent="0.2"/>
    <row r="6" spans="2:14" s="299" customFormat="1" outlineLevel="1" x14ac:dyDescent="0.2">
      <c r="B6" s="298" t="s">
        <v>311</v>
      </c>
    </row>
    <row r="7" spans="2:14" ht="13.5" outlineLevel="1" thickBot="1" x14ac:dyDescent="0.25">
      <c r="B7" s="300"/>
      <c r="C7" s="300"/>
      <c r="D7" s="300"/>
      <c r="E7" s="300"/>
      <c r="F7" s="300"/>
      <c r="G7" s="300"/>
      <c r="H7" s="300"/>
      <c r="I7" s="300"/>
    </row>
    <row r="8" spans="2:14" outlineLevel="1" x14ac:dyDescent="0.2">
      <c r="B8" s="284"/>
      <c r="C8" s="282" t="s">
        <v>16</v>
      </c>
      <c r="D8" s="282">
        <v>2016</v>
      </c>
      <c r="E8" s="282">
        <v>2017</v>
      </c>
      <c r="F8" s="282">
        <v>2018</v>
      </c>
      <c r="G8" s="282">
        <v>2019</v>
      </c>
      <c r="H8" s="282">
        <v>2020</v>
      </c>
      <c r="I8" s="281">
        <v>2021</v>
      </c>
    </row>
    <row r="9" spans="2:14" outlineLevel="1" x14ac:dyDescent="0.2">
      <c r="B9" s="302" t="s">
        <v>17</v>
      </c>
      <c r="C9" s="278" t="s">
        <v>18</v>
      </c>
      <c r="D9" s="303"/>
      <c r="E9" s="304">
        <v>1.9742400000000004E-2</v>
      </c>
      <c r="F9" s="303">
        <v>1.9742400000000004E-2</v>
      </c>
      <c r="G9" s="303">
        <v>1.9742400000000004E-2</v>
      </c>
      <c r="H9" s="303">
        <v>1.9742400000000004E-2</v>
      </c>
      <c r="I9" s="305">
        <v>1.9742400000000004E-2</v>
      </c>
      <c r="J9" s="306"/>
      <c r="K9" s="306"/>
      <c r="N9" s="307"/>
    </row>
    <row r="10" spans="2:14" ht="13.5" outlineLevel="1" thickBot="1" x14ac:dyDescent="0.25">
      <c r="B10" s="308" t="s">
        <v>19</v>
      </c>
      <c r="C10" s="275" t="s">
        <v>18</v>
      </c>
      <c r="D10" s="309"/>
      <c r="E10" s="310">
        <v>7.9074074074074064E-3</v>
      </c>
      <c r="F10" s="309">
        <v>7.9074074074074064E-3</v>
      </c>
      <c r="G10" s="309">
        <v>7.9074074074074064E-3</v>
      </c>
      <c r="H10" s="309">
        <v>7.9074074074074064E-3</v>
      </c>
      <c r="I10" s="311">
        <v>7.9074074074074064E-3</v>
      </c>
      <c r="J10" s="306"/>
      <c r="K10" s="306"/>
    </row>
    <row r="11" spans="2:14" ht="13.5" outlineLevel="1" thickBot="1" x14ac:dyDescent="0.25">
      <c r="E11" s="312"/>
      <c r="F11" s="312"/>
      <c r="G11" s="312"/>
      <c r="H11" s="312"/>
      <c r="I11" s="312"/>
      <c r="J11" s="306"/>
      <c r="K11" s="306"/>
    </row>
    <row r="12" spans="2:14" outlineLevel="1" x14ac:dyDescent="0.2">
      <c r="B12" s="313" t="s">
        <v>312</v>
      </c>
      <c r="C12" s="314" t="s">
        <v>18</v>
      </c>
      <c r="D12" s="315">
        <v>3.5000000000000003E-2</v>
      </c>
      <c r="E12" s="312"/>
      <c r="F12" s="312"/>
      <c r="G12" s="312"/>
      <c r="H12" s="312"/>
      <c r="I12" s="312"/>
      <c r="J12" s="316"/>
      <c r="K12" s="316"/>
    </row>
    <row r="13" spans="2:14" ht="13.5" outlineLevel="1" thickBot="1" x14ac:dyDescent="0.25">
      <c r="B13" s="317" t="s">
        <v>20</v>
      </c>
      <c r="C13" s="318" t="s">
        <v>18</v>
      </c>
      <c r="D13" s="319">
        <v>7.7600000000000002E-2</v>
      </c>
      <c r="E13" s="312"/>
      <c r="F13" s="312"/>
      <c r="G13" s="312"/>
      <c r="H13" s="312"/>
      <c r="I13" s="312"/>
      <c r="J13" s="316"/>
      <c r="K13" s="316"/>
    </row>
    <row r="14" spans="2:14" outlineLevel="1" x14ac:dyDescent="0.2">
      <c r="B14" s="320"/>
      <c r="J14" s="321"/>
      <c r="K14" s="321"/>
    </row>
    <row r="15" spans="2:14" s="299" customFormat="1" outlineLevel="1" x14ac:dyDescent="0.2">
      <c r="B15" s="298" t="s">
        <v>313</v>
      </c>
    </row>
    <row r="16" spans="2:14" ht="13.5" customHeight="1" outlineLevel="1" x14ac:dyDescent="0.2">
      <c r="B16" s="301" t="s">
        <v>314</v>
      </c>
    </row>
    <row r="17" spans="2:13" ht="13.5" customHeight="1" outlineLevel="1" thickBot="1" x14ac:dyDescent="0.25">
      <c r="B17" s="300"/>
    </row>
    <row r="18" spans="2:13" ht="13.5" customHeight="1" outlineLevel="1" x14ac:dyDescent="0.2">
      <c r="B18" s="284" t="s">
        <v>303</v>
      </c>
      <c r="C18" s="282" t="s">
        <v>16</v>
      </c>
      <c r="D18" s="282">
        <v>2016</v>
      </c>
      <c r="E18" s="282">
        <v>2017</v>
      </c>
      <c r="F18" s="282">
        <v>2018</v>
      </c>
      <c r="G18" s="282">
        <v>2019</v>
      </c>
      <c r="H18" s="282">
        <v>2020</v>
      </c>
      <c r="I18" s="281">
        <v>2021</v>
      </c>
    </row>
    <row r="19" spans="2:13" outlineLevel="1" x14ac:dyDescent="0.2">
      <c r="B19" s="286" t="s">
        <v>315</v>
      </c>
      <c r="C19" s="278" t="s">
        <v>298</v>
      </c>
      <c r="D19" s="322">
        <v>413319.11996403383</v>
      </c>
      <c r="E19" s="322">
        <v>413319.11996403383</v>
      </c>
      <c r="F19" s="322">
        <v>413319.11996403383</v>
      </c>
      <c r="G19" s="322">
        <v>413319.11996403383</v>
      </c>
      <c r="H19" s="322">
        <v>413319.11996403383</v>
      </c>
      <c r="I19" s="323">
        <v>413319.11996403383</v>
      </c>
    </row>
    <row r="20" spans="2:13" outlineLevel="1" x14ac:dyDescent="0.2">
      <c r="B20" s="286" t="s">
        <v>316</v>
      </c>
      <c r="C20" s="278" t="s">
        <v>298</v>
      </c>
      <c r="D20" s="322">
        <v>0</v>
      </c>
      <c r="E20" s="322">
        <v>345480.16800000001</v>
      </c>
      <c r="F20" s="322">
        <v>345480.16800000001</v>
      </c>
      <c r="G20" s="322">
        <v>345480.16800000001</v>
      </c>
      <c r="H20" s="322">
        <v>345480.16800000001</v>
      </c>
      <c r="I20" s="323">
        <v>345480.16800000001</v>
      </c>
    </row>
    <row r="21" spans="2:13" ht="23.25" outlineLevel="1" x14ac:dyDescent="0.35">
      <c r="B21" s="286" t="s">
        <v>302</v>
      </c>
      <c r="C21" s="278" t="s">
        <v>298</v>
      </c>
      <c r="D21" s="533">
        <v>30496.959555000001</v>
      </c>
      <c r="E21" s="533">
        <v>34548.959555000001</v>
      </c>
      <c r="F21" s="533">
        <v>40875.959555000001</v>
      </c>
      <c r="G21" s="533">
        <v>42953.959555000001</v>
      </c>
      <c r="H21" s="533">
        <v>45802.959555000001</v>
      </c>
      <c r="I21" s="534">
        <v>45802.959555000001</v>
      </c>
    </row>
    <row r="22" spans="2:13" outlineLevel="1" x14ac:dyDescent="0.2">
      <c r="B22" s="324" t="s">
        <v>317</v>
      </c>
      <c r="C22" s="325" t="s">
        <v>298</v>
      </c>
      <c r="D22" s="326">
        <v>0</v>
      </c>
      <c r="E22" s="326">
        <v>0</v>
      </c>
      <c r="F22" s="326">
        <v>0</v>
      </c>
      <c r="G22" s="326">
        <v>0</v>
      </c>
      <c r="H22" s="326">
        <v>0</v>
      </c>
      <c r="I22" s="327">
        <v>0</v>
      </c>
    </row>
    <row r="23" spans="2:13" outlineLevel="1" x14ac:dyDescent="0.2">
      <c r="B23" s="286" t="s">
        <v>318</v>
      </c>
      <c r="C23" s="278" t="s">
        <v>298</v>
      </c>
      <c r="D23" s="322">
        <v>204259.9661240339</v>
      </c>
      <c r="E23" s="322">
        <v>188786.04443471515</v>
      </c>
      <c r="F23" s="322">
        <v>173312.12274539642</v>
      </c>
      <c r="G23" s="322">
        <v>157838.20105607776</v>
      </c>
      <c r="H23" s="322">
        <v>142364.27936675903</v>
      </c>
      <c r="I23" s="323">
        <v>126890.35767744032</v>
      </c>
    </row>
    <row r="24" spans="2:13" outlineLevel="1" x14ac:dyDescent="0.2">
      <c r="B24" s="286" t="s">
        <v>319</v>
      </c>
      <c r="C24" s="278" t="s">
        <v>298</v>
      </c>
      <c r="D24" s="322">
        <v>0</v>
      </c>
      <c r="E24" s="322">
        <v>339449.17887037195</v>
      </c>
      <c r="F24" s="322">
        <v>327413.30672753748</v>
      </c>
      <c r="G24" s="322">
        <v>315377.43458470295</v>
      </c>
      <c r="H24" s="322">
        <v>303341.56244186847</v>
      </c>
      <c r="I24" s="323">
        <v>291305.690299034</v>
      </c>
    </row>
    <row r="25" spans="2:13" outlineLevel="1" x14ac:dyDescent="0.2">
      <c r="B25" s="286" t="s">
        <v>320</v>
      </c>
      <c r="C25" s="278" t="s">
        <v>298</v>
      </c>
      <c r="D25" s="322">
        <v>14766.818485</v>
      </c>
      <c r="E25" s="322">
        <v>17984.387026563571</v>
      </c>
      <c r="F25" s="322">
        <v>23281.688650318916</v>
      </c>
      <c r="G25" s="322">
        <v>24208.367671334541</v>
      </c>
      <c r="H25" s="322">
        <v>25857.001815637836</v>
      </c>
      <c r="I25" s="323">
        <v>24582.054603776745</v>
      </c>
    </row>
    <row r="26" spans="2:13" ht="13.5" outlineLevel="1" thickBot="1" x14ac:dyDescent="0.25">
      <c r="B26" s="328" t="s">
        <v>321</v>
      </c>
      <c r="C26" s="329" t="s">
        <v>298</v>
      </c>
      <c r="D26" s="330">
        <v>0</v>
      </c>
      <c r="E26" s="330">
        <v>0</v>
      </c>
      <c r="F26" s="330">
        <v>0</v>
      </c>
      <c r="G26" s="330">
        <v>0</v>
      </c>
      <c r="H26" s="330">
        <v>0</v>
      </c>
      <c r="I26" s="331">
        <v>0</v>
      </c>
    </row>
    <row r="27" spans="2:13" outlineLevel="1" x14ac:dyDescent="0.2">
      <c r="C27" s="332"/>
      <c r="D27" s="333"/>
      <c r="E27" s="333"/>
      <c r="F27" s="333"/>
      <c r="G27" s="333"/>
      <c r="H27" s="333"/>
      <c r="I27" s="333"/>
    </row>
    <row r="28" spans="2:13" ht="13.5" hidden="1" outlineLevel="1" thickBot="1" x14ac:dyDescent="0.25">
      <c r="B28" s="334" t="s">
        <v>322</v>
      </c>
      <c r="C28" s="282" t="s">
        <v>16</v>
      </c>
      <c r="D28" s="282">
        <v>2016</v>
      </c>
      <c r="E28" s="282">
        <v>2017</v>
      </c>
      <c r="F28" s="282">
        <v>2018</v>
      </c>
      <c r="G28" s="282">
        <v>2019</v>
      </c>
      <c r="H28" s="282">
        <v>2020</v>
      </c>
      <c r="I28" s="281">
        <v>2021</v>
      </c>
      <c r="K28" s="335" t="s">
        <v>323</v>
      </c>
      <c r="L28" s="335" t="s">
        <v>324</v>
      </c>
    </row>
    <row r="29" spans="2:13" hidden="1" outlineLevel="1" x14ac:dyDescent="0.2">
      <c r="B29" s="286" t="s">
        <v>325</v>
      </c>
      <c r="C29" s="278" t="s">
        <v>298</v>
      </c>
      <c r="D29" s="326"/>
      <c r="E29" s="326">
        <v>0</v>
      </c>
      <c r="F29" s="333">
        <v>0</v>
      </c>
      <c r="G29" s="326">
        <v>0</v>
      </c>
      <c r="H29" s="326">
        <v>0</v>
      </c>
      <c r="I29" s="336">
        <v>0</v>
      </c>
      <c r="K29" s="337" t="s">
        <v>326</v>
      </c>
      <c r="L29" s="338" t="s">
        <v>327</v>
      </c>
      <c r="M29" s="339" t="s">
        <v>328</v>
      </c>
    </row>
    <row r="30" spans="2:13" hidden="1" outlineLevel="1" x14ac:dyDescent="0.2">
      <c r="B30" s="286" t="s">
        <v>329</v>
      </c>
      <c r="C30" s="278" t="s">
        <v>298</v>
      </c>
      <c r="D30" s="326"/>
      <c r="E30" s="326">
        <v>0</v>
      </c>
      <c r="F30" s="333">
        <v>0</v>
      </c>
      <c r="G30" s="326">
        <v>0</v>
      </c>
      <c r="H30" s="326">
        <v>0</v>
      </c>
      <c r="I30" s="336">
        <v>0</v>
      </c>
      <c r="K30" s="340" t="s">
        <v>326</v>
      </c>
      <c r="L30" s="341" t="s">
        <v>330</v>
      </c>
      <c r="M30" s="339" t="s">
        <v>326</v>
      </c>
    </row>
    <row r="31" spans="2:13" hidden="1" outlineLevel="1" x14ac:dyDescent="0.2">
      <c r="B31" s="286" t="s">
        <v>331</v>
      </c>
      <c r="C31" s="278" t="s">
        <v>298</v>
      </c>
      <c r="D31" s="326"/>
      <c r="E31" s="326">
        <v>0</v>
      </c>
      <c r="F31" s="333">
        <v>0</v>
      </c>
      <c r="G31" s="326">
        <v>0</v>
      </c>
      <c r="H31" s="326">
        <v>0</v>
      </c>
      <c r="I31" s="336">
        <v>0</v>
      </c>
      <c r="K31" s="340" t="s">
        <v>326</v>
      </c>
      <c r="L31" s="341"/>
    </row>
    <row r="32" spans="2:13" ht="13.5" hidden="1" outlineLevel="1" thickBot="1" x14ac:dyDescent="0.25">
      <c r="B32" s="342" t="s">
        <v>332</v>
      </c>
      <c r="C32" s="275" t="s">
        <v>298</v>
      </c>
      <c r="D32" s="343"/>
      <c r="E32" s="343">
        <v>0</v>
      </c>
      <c r="F32" s="344">
        <v>0</v>
      </c>
      <c r="G32" s="343">
        <v>0</v>
      </c>
      <c r="H32" s="343">
        <v>0</v>
      </c>
      <c r="I32" s="345">
        <v>0</v>
      </c>
      <c r="K32" s="346" t="s">
        <v>326</v>
      </c>
      <c r="L32" s="347"/>
    </row>
    <row r="33" spans="2:13" hidden="1" outlineLevel="1" x14ac:dyDescent="0.2">
      <c r="B33" s="320"/>
      <c r="C33" s="348"/>
      <c r="D33" s="333"/>
      <c r="E33" s="333"/>
      <c r="F33" s="333"/>
      <c r="G33" s="333"/>
      <c r="H33" s="333"/>
      <c r="I33" s="333"/>
    </row>
    <row r="34" spans="2:13" ht="13.5" hidden="1" outlineLevel="1" thickBot="1" x14ac:dyDescent="0.25">
      <c r="B34" s="334" t="s">
        <v>333</v>
      </c>
      <c r="C34" s="282" t="s">
        <v>16</v>
      </c>
      <c r="D34" s="282">
        <v>2016</v>
      </c>
      <c r="E34" s="282">
        <v>2017</v>
      </c>
      <c r="F34" s="282">
        <v>2018</v>
      </c>
      <c r="G34" s="282">
        <v>2019</v>
      </c>
      <c r="H34" s="282">
        <v>2020</v>
      </c>
      <c r="I34" s="281">
        <v>2021</v>
      </c>
      <c r="K34" s="335" t="s">
        <v>323</v>
      </c>
      <c r="L34" s="335" t="s">
        <v>324</v>
      </c>
    </row>
    <row r="35" spans="2:13" hidden="1" outlineLevel="1" x14ac:dyDescent="0.2">
      <c r="B35" s="286" t="s">
        <v>334</v>
      </c>
      <c r="C35" s="278" t="s">
        <v>298</v>
      </c>
      <c r="D35" s="349"/>
      <c r="E35" s="326">
        <v>173114.76168767121</v>
      </c>
      <c r="F35" s="333">
        <v>0</v>
      </c>
      <c r="G35" s="326">
        <v>0</v>
      </c>
      <c r="H35" s="326">
        <v>0</v>
      </c>
      <c r="I35" s="336">
        <v>0</v>
      </c>
      <c r="K35" s="337" t="s">
        <v>328</v>
      </c>
      <c r="L35" s="338" t="s">
        <v>335</v>
      </c>
      <c r="M35" s="350"/>
    </row>
    <row r="36" spans="2:13" hidden="1" outlineLevel="1" x14ac:dyDescent="0.2">
      <c r="B36" s="286" t="s">
        <v>336</v>
      </c>
      <c r="C36" s="278" t="s">
        <v>298</v>
      </c>
      <c r="D36" s="326"/>
      <c r="E36" s="326">
        <v>0</v>
      </c>
      <c r="F36" s="333">
        <v>0</v>
      </c>
      <c r="G36" s="326">
        <v>0</v>
      </c>
      <c r="H36" s="326">
        <v>0</v>
      </c>
      <c r="I36" s="336">
        <v>0</v>
      </c>
      <c r="K36" s="340" t="s">
        <v>326</v>
      </c>
      <c r="L36" s="341"/>
    </row>
    <row r="37" spans="2:13" hidden="1" outlineLevel="1" x14ac:dyDescent="0.2">
      <c r="B37" s="286" t="s">
        <v>337</v>
      </c>
      <c r="C37" s="278" t="s">
        <v>298</v>
      </c>
      <c r="D37" s="326"/>
      <c r="E37" s="326">
        <v>0</v>
      </c>
      <c r="F37" s="333">
        <v>0</v>
      </c>
      <c r="G37" s="326">
        <v>0</v>
      </c>
      <c r="H37" s="326">
        <v>0</v>
      </c>
      <c r="I37" s="336">
        <v>0</v>
      </c>
      <c r="K37" s="340" t="s">
        <v>326</v>
      </c>
      <c r="L37" s="341"/>
      <c r="M37" s="350"/>
    </row>
    <row r="38" spans="2:13" ht="13.5" hidden="1" outlineLevel="1" thickBot="1" x14ac:dyDescent="0.25">
      <c r="B38" s="342" t="s">
        <v>338</v>
      </c>
      <c r="C38" s="275" t="s">
        <v>298</v>
      </c>
      <c r="D38" s="343"/>
      <c r="E38" s="343">
        <v>0</v>
      </c>
      <c r="F38" s="344">
        <v>0</v>
      </c>
      <c r="G38" s="343">
        <v>0</v>
      </c>
      <c r="H38" s="343">
        <v>0</v>
      </c>
      <c r="I38" s="345">
        <v>0</v>
      </c>
      <c r="K38" s="346" t="s">
        <v>326</v>
      </c>
      <c r="L38" s="347"/>
      <c r="M38" s="350"/>
    </row>
    <row r="39" spans="2:13" hidden="1" outlineLevel="1" x14ac:dyDescent="0.2">
      <c r="C39" s="351"/>
      <c r="D39" s="352"/>
      <c r="E39" s="352"/>
      <c r="F39" s="352"/>
      <c r="G39" s="352"/>
      <c r="H39" s="352"/>
      <c r="I39" s="352"/>
    </row>
    <row r="40" spans="2:13" s="299" customFormat="1" outlineLevel="1" x14ac:dyDescent="0.2">
      <c r="B40" s="298" t="s">
        <v>339</v>
      </c>
    </row>
    <row r="41" spans="2:13" outlineLevel="1" x14ac:dyDescent="0.2">
      <c r="B41" s="301" t="s">
        <v>314</v>
      </c>
      <c r="J41" s="353"/>
      <c r="K41" s="353"/>
    </row>
    <row r="42" spans="2:13" ht="13.5" outlineLevel="1" thickBot="1" x14ac:dyDescent="0.25">
      <c r="B42" s="300"/>
      <c r="J42" s="353"/>
      <c r="K42" s="353"/>
    </row>
    <row r="43" spans="2:13" outlineLevel="1" x14ac:dyDescent="0.2">
      <c r="B43" s="334" t="s">
        <v>340</v>
      </c>
      <c r="C43" s="282" t="s">
        <v>16</v>
      </c>
      <c r="D43" s="282">
        <v>2016</v>
      </c>
      <c r="E43" s="282">
        <v>2017</v>
      </c>
      <c r="F43" s="282">
        <v>2018</v>
      </c>
      <c r="G43" s="282">
        <v>2019</v>
      </c>
      <c r="H43" s="282">
        <v>2020</v>
      </c>
      <c r="I43" s="281">
        <v>2021</v>
      </c>
      <c r="J43" s="353"/>
      <c r="K43" s="353"/>
    </row>
    <row r="44" spans="2:13" outlineLevel="1" x14ac:dyDescent="0.2">
      <c r="B44" s="286" t="s">
        <v>341</v>
      </c>
      <c r="C44" s="278" t="s">
        <v>298</v>
      </c>
      <c r="D44" s="322">
        <v>798705.00513052323</v>
      </c>
      <c r="E44" s="322">
        <v>798705.00513052323</v>
      </c>
      <c r="F44" s="354">
        <v>798705.00513052323</v>
      </c>
      <c r="G44" s="322">
        <v>798705.00513052323</v>
      </c>
      <c r="H44" s="322">
        <v>798705.00513052323</v>
      </c>
      <c r="I44" s="355">
        <v>798705.00513052323</v>
      </c>
      <c r="J44" s="356"/>
      <c r="K44" s="356"/>
    </row>
    <row r="45" spans="2:13" outlineLevel="1" x14ac:dyDescent="0.2">
      <c r="B45" s="286" t="s">
        <v>342</v>
      </c>
      <c r="C45" s="278" t="s">
        <v>298</v>
      </c>
      <c r="D45" s="322">
        <v>0</v>
      </c>
      <c r="E45" s="322">
        <v>345480.16800000001</v>
      </c>
      <c r="F45" s="354">
        <v>345480.16800000001</v>
      </c>
      <c r="G45" s="322">
        <v>345480.16800000001</v>
      </c>
      <c r="H45" s="322">
        <v>345480.16800000001</v>
      </c>
      <c r="I45" s="355">
        <v>345480.16800000001</v>
      </c>
      <c r="J45" s="356"/>
      <c r="K45" s="356"/>
    </row>
    <row r="46" spans="2:13" ht="13.5" outlineLevel="1" thickBot="1" x14ac:dyDescent="0.25">
      <c r="B46" s="328" t="s">
        <v>343</v>
      </c>
      <c r="C46" s="329" t="s">
        <v>298</v>
      </c>
      <c r="D46" s="343">
        <v>65601.620907903925</v>
      </c>
      <c r="E46" s="343">
        <v>69653.620907903925</v>
      </c>
      <c r="F46" s="344">
        <v>75980.620907903925</v>
      </c>
      <c r="G46" s="343">
        <v>78058.620907903925</v>
      </c>
      <c r="H46" s="343">
        <v>80907.620907903925</v>
      </c>
      <c r="I46" s="345">
        <v>80907.620907903925</v>
      </c>
      <c r="J46" s="356"/>
      <c r="K46" s="356"/>
    </row>
    <row r="47" spans="2:13" ht="13.5" outlineLevel="1" thickBot="1" x14ac:dyDescent="0.25">
      <c r="B47" s="320"/>
      <c r="C47" s="348"/>
      <c r="D47" s="354"/>
      <c r="E47" s="354"/>
      <c r="F47" s="354"/>
      <c r="G47" s="354"/>
      <c r="H47" s="354"/>
      <c r="I47" s="354"/>
      <c r="J47" s="356"/>
      <c r="K47" s="356"/>
    </row>
    <row r="48" spans="2:13" ht="13.5" hidden="1" outlineLevel="1" thickBot="1" x14ac:dyDescent="0.25">
      <c r="B48" s="334" t="s">
        <v>344</v>
      </c>
      <c r="C48" s="282"/>
      <c r="D48" s="282">
        <v>2016</v>
      </c>
      <c r="E48" s="282">
        <v>2017</v>
      </c>
      <c r="F48" s="282">
        <v>2018</v>
      </c>
      <c r="G48" s="282">
        <v>2019</v>
      </c>
      <c r="H48" s="282">
        <v>2020</v>
      </c>
      <c r="I48" s="281">
        <v>2021</v>
      </c>
      <c r="J48" s="356"/>
      <c r="K48" s="335" t="s">
        <v>323</v>
      </c>
      <c r="L48" s="335" t="s">
        <v>324</v>
      </c>
    </row>
    <row r="49" spans="2:13" ht="13.5" hidden="1" outlineLevel="1" thickBot="1" x14ac:dyDescent="0.25">
      <c r="B49" s="286" t="s">
        <v>345</v>
      </c>
      <c r="C49" s="278" t="s">
        <v>298</v>
      </c>
      <c r="D49" s="322"/>
      <c r="E49" s="322">
        <v>0</v>
      </c>
      <c r="F49" s="354">
        <v>0</v>
      </c>
      <c r="G49" s="322">
        <v>0</v>
      </c>
      <c r="H49" s="322">
        <v>0</v>
      </c>
      <c r="I49" s="355">
        <v>0</v>
      </c>
      <c r="J49" s="356"/>
      <c r="K49" s="337" t="s">
        <v>326</v>
      </c>
      <c r="L49" s="338" t="s">
        <v>346</v>
      </c>
    </row>
    <row r="50" spans="2:13" ht="13.5" hidden="1" outlineLevel="1" thickBot="1" x14ac:dyDescent="0.25">
      <c r="B50" s="286" t="s">
        <v>347</v>
      </c>
      <c r="C50" s="278" t="s">
        <v>298</v>
      </c>
      <c r="D50" s="322"/>
      <c r="E50" s="322">
        <v>0</v>
      </c>
      <c r="F50" s="354">
        <v>0</v>
      </c>
      <c r="G50" s="322">
        <v>0</v>
      </c>
      <c r="H50" s="322">
        <v>0</v>
      </c>
      <c r="I50" s="355">
        <v>0</v>
      </c>
      <c r="J50" s="356"/>
      <c r="K50" s="340" t="s">
        <v>326</v>
      </c>
      <c r="L50" s="341"/>
    </row>
    <row r="51" spans="2:13" ht="13.5" hidden="1" outlineLevel="1" thickBot="1" x14ac:dyDescent="0.25">
      <c r="B51" s="342" t="s">
        <v>348</v>
      </c>
      <c r="C51" s="275" t="s">
        <v>298</v>
      </c>
      <c r="D51" s="357"/>
      <c r="E51" s="357"/>
      <c r="F51" s="358"/>
      <c r="G51" s="357"/>
      <c r="H51" s="357"/>
      <c r="I51" s="359"/>
      <c r="J51" s="356"/>
      <c r="K51" s="346" t="s">
        <v>326</v>
      </c>
      <c r="L51" s="347"/>
    </row>
    <row r="52" spans="2:13" ht="13.5" hidden="1" outlineLevel="1" thickBot="1" x14ac:dyDescent="0.25">
      <c r="C52" s="348"/>
      <c r="D52" s="333"/>
      <c r="E52" s="333"/>
      <c r="F52" s="333"/>
      <c r="G52" s="333"/>
      <c r="H52" s="333"/>
      <c r="I52" s="333"/>
    </row>
    <row r="53" spans="2:13" outlineLevel="1" x14ac:dyDescent="0.2">
      <c r="B53" s="334" t="s">
        <v>68</v>
      </c>
      <c r="C53" s="282"/>
      <c r="D53" s="282">
        <v>2016</v>
      </c>
      <c r="E53" s="282">
        <v>2017</v>
      </c>
      <c r="F53" s="282">
        <v>2018</v>
      </c>
      <c r="G53" s="282">
        <v>2019</v>
      </c>
      <c r="H53" s="282">
        <v>2020</v>
      </c>
      <c r="I53" s="281">
        <v>2021</v>
      </c>
      <c r="J53" s="356"/>
      <c r="K53" s="356"/>
    </row>
    <row r="54" spans="2:13" outlineLevel="1" x14ac:dyDescent="0.2">
      <c r="B54" s="286" t="s">
        <v>349</v>
      </c>
      <c r="C54" s="278" t="s">
        <v>298</v>
      </c>
      <c r="D54" s="349"/>
      <c r="E54" s="326">
        <v>173114.76168767121</v>
      </c>
      <c r="F54" s="333">
        <v>0</v>
      </c>
      <c r="G54" s="326">
        <v>0</v>
      </c>
      <c r="H54" s="326">
        <v>0</v>
      </c>
      <c r="I54" s="336">
        <v>0</v>
      </c>
      <c r="J54" s="356"/>
      <c r="K54" s="356"/>
      <c r="M54" s="350"/>
    </row>
    <row r="55" spans="2:13" outlineLevel="1" x14ac:dyDescent="0.2">
      <c r="B55" s="286" t="s">
        <v>350</v>
      </c>
      <c r="C55" s="278" t="s">
        <v>298</v>
      </c>
      <c r="D55" s="322"/>
      <c r="E55" s="322">
        <v>0</v>
      </c>
      <c r="F55" s="354">
        <v>0</v>
      </c>
      <c r="G55" s="322">
        <v>0</v>
      </c>
      <c r="H55" s="322">
        <v>0</v>
      </c>
      <c r="I55" s="355">
        <v>0</v>
      </c>
      <c r="J55" s="356"/>
      <c r="K55" s="356"/>
      <c r="L55" s="356"/>
    </row>
    <row r="56" spans="2:13" outlineLevel="1" x14ac:dyDescent="0.2">
      <c r="B56" s="286" t="s">
        <v>351</v>
      </c>
      <c r="C56" s="278" t="s">
        <v>298</v>
      </c>
      <c r="D56" s="322"/>
      <c r="E56" s="322">
        <v>0</v>
      </c>
      <c r="F56" s="354">
        <v>0</v>
      </c>
      <c r="G56" s="322">
        <v>0</v>
      </c>
      <c r="H56" s="322">
        <v>0</v>
      </c>
      <c r="I56" s="355">
        <v>0</v>
      </c>
      <c r="J56" s="356"/>
      <c r="K56" s="356"/>
      <c r="L56" s="356"/>
      <c r="M56" s="350"/>
    </row>
    <row r="57" spans="2:13" ht="13.5" outlineLevel="1" thickBot="1" x14ac:dyDescent="0.25">
      <c r="B57" s="328" t="s">
        <v>352</v>
      </c>
      <c r="C57" s="329" t="s">
        <v>298</v>
      </c>
      <c r="D57" s="343"/>
      <c r="E57" s="343">
        <v>0</v>
      </c>
      <c r="F57" s="344">
        <v>0</v>
      </c>
      <c r="G57" s="343">
        <v>0</v>
      </c>
      <c r="H57" s="343">
        <v>0</v>
      </c>
      <c r="I57" s="345">
        <v>0</v>
      </c>
      <c r="J57" s="356"/>
      <c r="K57" s="356"/>
      <c r="L57" s="356"/>
      <c r="M57" s="350"/>
    </row>
    <row r="58" spans="2:13" outlineLevel="1" x14ac:dyDescent="0.2">
      <c r="B58" s="320"/>
      <c r="C58" s="320"/>
      <c r="D58" s="320"/>
      <c r="E58" s="320"/>
      <c r="F58" s="320"/>
      <c r="G58" s="320"/>
      <c r="H58" s="320"/>
      <c r="I58" s="320"/>
    </row>
    <row r="59" spans="2:13" s="299" customFormat="1" x14ac:dyDescent="0.2">
      <c r="B59" s="298" t="s">
        <v>353</v>
      </c>
    </row>
    <row r="60" spans="2:13" outlineLevel="1" x14ac:dyDescent="0.2">
      <c r="B60" s="301" t="s">
        <v>314</v>
      </c>
    </row>
    <row r="61" spans="2:13" ht="13.5" outlineLevel="1" thickBot="1" x14ac:dyDescent="0.25">
      <c r="B61" s="300"/>
    </row>
    <row r="62" spans="2:13" ht="13.5" outlineLevel="1" thickBot="1" x14ac:dyDescent="0.25">
      <c r="B62" s="284" t="s">
        <v>354</v>
      </c>
      <c r="C62" s="282"/>
      <c r="D62" s="282"/>
      <c r="E62" s="282">
        <v>2017</v>
      </c>
      <c r="F62" s="282">
        <v>2018</v>
      </c>
      <c r="G62" s="282">
        <v>2019</v>
      </c>
      <c r="H62" s="282">
        <v>2020</v>
      </c>
      <c r="I62" s="281">
        <v>2021</v>
      </c>
      <c r="K62" s="335" t="s">
        <v>323</v>
      </c>
      <c r="L62" s="335" t="s">
        <v>324</v>
      </c>
    </row>
    <row r="63" spans="2:13" outlineLevel="1" x14ac:dyDescent="0.2">
      <c r="B63" s="279" t="s">
        <v>300</v>
      </c>
      <c r="C63" s="278" t="s">
        <v>298</v>
      </c>
      <c r="D63" s="277"/>
      <c r="E63" s="322">
        <v>15768.353693288846</v>
      </c>
      <c r="F63" s="322">
        <v>15768.353693288846</v>
      </c>
      <c r="G63" s="322">
        <v>15768.353693288846</v>
      </c>
      <c r="H63" s="322">
        <v>15768.353693288846</v>
      </c>
      <c r="I63" s="323">
        <v>15768.353693288846</v>
      </c>
      <c r="K63" s="337" t="s">
        <v>326</v>
      </c>
      <c r="L63" s="338"/>
    </row>
    <row r="64" spans="2:13" outlineLevel="1" x14ac:dyDescent="0.2">
      <c r="B64" s="279" t="s">
        <v>299</v>
      </c>
      <c r="C64" s="278" t="s">
        <v>298</v>
      </c>
      <c r="D64" s="277"/>
      <c r="E64" s="322">
        <v>6315.6858739024701</v>
      </c>
      <c r="F64" s="322">
        <v>6315.6858739024701</v>
      </c>
      <c r="G64" s="322">
        <v>6315.6858739024701</v>
      </c>
      <c r="H64" s="322">
        <v>6315.6858739024701</v>
      </c>
      <c r="I64" s="323">
        <v>6315.6858739024701</v>
      </c>
      <c r="K64" s="340" t="s">
        <v>326</v>
      </c>
      <c r="L64" s="341"/>
    </row>
    <row r="65" spans="1:13" outlineLevel="1" x14ac:dyDescent="0.2">
      <c r="B65" s="279" t="s">
        <v>355</v>
      </c>
      <c r="C65" s="278" t="s">
        <v>298</v>
      </c>
      <c r="D65" s="277"/>
      <c r="E65" s="322">
        <v>15473.921689318706</v>
      </c>
      <c r="F65" s="322">
        <v>15473.921689318706</v>
      </c>
      <c r="G65" s="322">
        <v>15473.921689318706</v>
      </c>
      <c r="H65" s="322">
        <v>15473.921689318706</v>
      </c>
      <c r="I65" s="323">
        <v>15473.921689318706</v>
      </c>
      <c r="K65" s="340" t="s">
        <v>326</v>
      </c>
      <c r="L65" s="341"/>
    </row>
    <row r="66" spans="1:13" outlineLevel="1" x14ac:dyDescent="0.2">
      <c r="B66" s="279" t="s">
        <v>356</v>
      </c>
      <c r="C66" s="278" t="s">
        <v>298</v>
      </c>
      <c r="D66" s="277"/>
      <c r="E66" s="322">
        <v>15850.573371225031</v>
      </c>
      <c r="F66" s="322">
        <v>14649.797048133896</v>
      </c>
      <c r="G66" s="322">
        <v>13449.020725042763</v>
      </c>
      <c r="H66" s="322">
        <v>12248.244401951635</v>
      </c>
      <c r="I66" s="323">
        <v>11047.468078860502</v>
      </c>
      <c r="K66" s="340" t="s">
        <v>326</v>
      </c>
      <c r="L66" s="341"/>
    </row>
    <row r="67" spans="1:13" outlineLevel="2" x14ac:dyDescent="0.2">
      <c r="B67" s="279" t="s">
        <v>357</v>
      </c>
      <c r="C67" s="278" t="s">
        <v>298</v>
      </c>
      <c r="D67" s="277"/>
      <c r="E67" s="322">
        <v>0</v>
      </c>
      <c r="F67" s="322">
        <v>0</v>
      </c>
      <c r="G67" s="322">
        <v>0</v>
      </c>
      <c r="H67" s="322">
        <v>0</v>
      </c>
      <c r="I67" s="323">
        <v>0</v>
      </c>
      <c r="K67" s="340" t="s">
        <v>326</v>
      </c>
      <c r="L67" s="341"/>
    </row>
    <row r="68" spans="1:13" ht="13.5" outlineLevel="1" thickBot="1" x14ac:dyDescent="0.25">
      <c r="B68" s="360" t="s">
        <v>358</v>
      </c>
      <c r="C68" s="325" t="s">
        <v>298</v>
      </c>
      <c r="D68" s="361"/>
      <c r="E68" s="322">
        <v>15</v>
      </c>
      <c r="F68" s="322">
        <v>130</v>
      </c>
      <c r="G68" s="322">
        <v>130</v>
      </c>
      <c r="H68" s="322">
        <v>130</v>
      </c>
      <c r="I68" s="322">
        <v>15</v>
      </c>
      <c r="K68" s="346" t="s">
        <v>326</v>
      </c>
      <c r="L68" s="347" t="s">
        <v>359</v>
      </c>
    </row>
    <row r="69" spans="1:13" ht="13.5" outlineLevel="1" thickBot="1" x14ac:dyDescent="0.25">
      <c r="B69" s="362" t="s">
        <v>360</v>
      </c>
      <c r="C69" s="363"/>
      <c r="D69" s="363"/>
      <c r="E69" s="364">
        <v>53423.534627735047</v>
      </c>
      <c r="F69" s="364">
        <v>52337.75830464391</v>
      </c>
      <c r="G69" s="364">
        <v>51136.981981552781</v>
      </c>
      <c r="H69" s="364">
        <v>49936.205658461651</v>
      </c>
      <c r="I69" s="365">
        <v>48620.429335370522</v>
      </c>
      <c r="L69" s="356"/>
      <c r="M69" s="350"/>
    </row>
    <row r="70" spans="1:13" ht="13.5" thickBot="1" x14ac:dyDescent="0.25">
      <c r="A70" s="366"/>
      <c r="B70" s="367"/>
      <c r="C70" s="366"/>
      <c r="D70" s="366"/>
      <c r="E70" s="368"/>
      <c r="F70" s="368"/>
      <c r="G70" s="368"/>
      <c r="H70" s="368"/>
      <c r="I70" s="368"/>
      <c r="L70" s="356"/>
    </row>
    <row r="71" spans="1:13" x14ac:dyDescent="0.2">
      <c r="B71" s="284" t="s">
        <v>361</v>
      </c>
      <c r="C71" s="282"/>
      <c r="D71" s="282"/>
      <c r="E71" s="282">
        <v>2017</v>
      </c>
      <c r="F71" s="282">
        <v>2018</v>
      </c>
      <c r="G71" s="282">
        <v>2019</v>
      </c>
      <c r="H71" s="282">
        <v>2020</v>
      </c>
      <c r="I71" s="281">
        <v>2021</v>
      </c>
      <c r="L71" s="356"/>
    </row>
    <row r="72" spans="1:13" x14ac:dyDescent="0.2">
      <c r="B72" s="279" t="s">
        <v>300</v>
      </c>
      <c r="C72" s="278" t="s">
        <v>298</v>
      </c>
      <c r="D72" s="277"/>
      <c r="E72" s="322">
        <v>3417.7008711426806</v>
      </c>
      <c r="F72" s="322">
        <v>6820.6076687232016</v>
      </c>
      <c r="G72" s="322">
        <v>6820.6076687232016</v>
      </c>
      <c r="H72" s="322">
        <v>6820.6076687232016</v>
      </c>
      <c r="I72" s="323">
        <v>6820.6076687232016</v>
      </c>
      <c r="L72" s="356"/>
    </row>
    <row r="73" spans="1:13" x14ac:dyDescent="0.2">
      <c r="B73" s="279" t="s">
        <v>299</v>
      </c>
      <c r="C73" s="278" t="s">
        <v>298</v>
      </c>
      <c r="D73" s="277"/>
      <c r="E73" s="322">
        <v>1368.8889489006592</v>
      </c>
      <c r="F73" s="322">
        <v>2731.8524395555551</v>
      </c>
      <c r="G73" s="322">
        <v>2731.8524395555551</v>
      </c>
      <c r="H73" s="322">
        <v>2731.8524395555551</v>
      </c>
      <c r="I73" s="323">
        <v>2731.8524395555551</v>
      </c>
      <c r="L73" s="356"/>
    </row>
    <row r="74" spans="1:13" x14ac:dyDescent="0.2">
      <c r="B74" s="279" t="s">
        <v>355</v>
      </c>
      <c r="C74" s="278" t="s">
        <v>298</v>
      </c>
      <c r="D74" s="277"/>
      <c r="E74" s="322">
        <v>6030.9891296280402</v>
      </c>
      <c r="F74" s="322">
        <v>12035.872142834463</v>
      </c>
      <c r="G74" s="322">
        <v>12035.872142834463</v>
      </c>
      <c r="H74" s="322">
        <v>12035.872142834463</v>
      </c>
      <c r="I74" s="323">
        <v>12035.872142834463</v>
      </c>
      <c r="L74" s="356"/>
    </row>
    <row r="75" spans="1:13" x14ac:dyDescent="0.2">
      <c r="B75" s="279" t="s">
        <v>356</v>
      </c>
      <c r="C75" s="278" t="s">
        <v>298</v>
      </c>
      <c r="D75" s="277"/>
      <c r="E75" s="322">
        <v>13433.705506963286</v>
      </c>
      <c r="F75" s="322">
        <v>26341.256280340865</v>
      </c>
      <c r="G75" s="322">
        <v>25407.27260205691</v>
      </c>
      <c r="H75" s="322">
        <v>24473.288923772951</v>
      </c>
      <c r="I75" s="323">
        <v>23539.305245488995</v>
      </c>
      <c r="L75" s="356"/>
    </row>
    <row r="76" spans="1:13" x14ac:dyDescent="0.2">
      <c r="B76" s="279" t="s">
        <v>362</v>
      </c>
      <c r="C76" s="278" t="s">
        <v>298</v>
      </c>
      <c r="D76" s="277"/>
      <c r="E76" s="369">
        <v>0</v>
      </c>
      <c r="F76" s="369">
        <v>16000</v>
      </c>
      <c r="G76" s="369">
        <v>16000</v>
      </c>
      <c r="H76" s="369">
        <v>16000</v>
      </c>
      <c r="I76" s="323">
        <v>0</v>
      </c>
      <c r="L76" s="356"/>
    </row>
    <row r="77" spans="1:13" ht="13.5" thickBot="1" x14ac:dyDescent="0.25">
      <c r="B77" s="276" t="s">
        <v>358</v>
      </c>
      <c r="C77" s="275" t="s">
        <v>298</v>
      </c>
      <c r="D77" s="285"/>
      <c r="E77" s="285"/>
      <c r="F77" s="285"/>
      <c r="G77" s="285"/>
      <c r="H77" s="285"/>
      <c r="I77" s="370"/>
      <c r="L77" s="356"/>
    </row>
    <row r="78" spans="1:13" ht="13.5" thickBot="1" x14ac:dyDescent="0.25">
      <c r="B78" s="362" t="s">
        <v>360</v>
      </c>
      <c r="C78" s="363"/>
      <c r="D78" s="363"/>
      <c r="E78" s="364">
        <v>24251.284456634668</v>
      </c>
      <c r="F78" s="364">
        <v>63929.588531454086</v>
      </c>
      <c r="G78" s="364">
        <v>62995.604853170131</v>
      </c>
      <c r="H78" s="364">
        <v>62061.621174886168</v>
      </c>
      <c r="I78" s="365">
        <v>45127.637496602212</v>
      </c>
      <c r="M78" s="350"/>
    </row>
    <row r="79" spans="1:13" ht="13.5" thickBot="1" x14ac:dyDescent="0.25">
      <c r="A79" s="366"/>
      <c r="B79" s="367"/>
      <c r="C79" s="366"/>
      <c r="D79" s="366"/>
      <c r="E79" s="368"/>
      <c r="F79" s="368"/>
      <c r="G79" s="368"/>
      <c r="H79" s="368"/>
      <c r="I79" s="368"/>
    </row>
    <row r="80" spans="1:13" ht="13.5" hidden="1" thickBot="1" x14ac:dyDescent="0.25">
      <c r="B80" s="284" t="s">
        <v>363</v>
      </c>
      <c r="C80" s="282"/>
      <c r="D80" s="282"/>
      <c r="E80" s="282" t="s">
        <v>408</v>
      </c>
      <c r="F80" s="282" t="s">
        <v>409</v>
      </c>
      <c r="G80" s="282" t="s">
        <v>410</v>
      </c>
      <c r="H80" s="282" t="s">
        <v>411</v>
      </c>
      <c r="I80" s="371" t="s">
        <v>364</v>
      </c>
    </row>
    <row r="81" spans="1:12" ht="13.5" hidden="1" thickBot="1" x14ac:dyDescent="0.25">
      <c r="B81" s="279" t="s">
        <v>365</v>
      </c>
      <c r="C81" s="278" t="s">
        <v>298</v>
      </c>
      <c r="D81" s="277"/>
      <c r="E81" s="322">
        <v>0</v>
      </c>
      <c r="F81" s="322">
        <v>0</v>
      </c>
      <c r="G81" s="322">
        <v>0</v>
      </c>
      <c r="H81" s="322">
        <v>0</v>
      </c>
      <c r="I81" s="323">
        <v>0</v>
      </c>
      <c r="L81" s="356"/>
    </row>
    <row r="82" spans="1:12" ht="13.5" hidden="1" thickBot="1" x14ac:dyDescent="0.25">
      <c r="B82" s="279" t="s">
        <v>366</v>
      </c>
      <c r="C82" s="278" t="s">
        <v>298</v>
      </c>
      <c r="D82" s="277"/>
      <c r="E82" s="322">
        <v>0</v>
      </c>
      <c r="F82" s="322">
        <v>0</v>
      </c>
      <c r="G82" s="322">
        <v>0</v>
      </c>
      <c r="H82" s="322">
        <v>0</v>
      </c>
      <c r="I82" s="323">
        <v>0</v>
      </c>
      <c r="L82" s="356"/>
    </row>
    <row r="83" spans="1:12" ht="13.5" hidden="1" thickBot="1" x14ac:dyDescent="0.25">
      <c r="B83" s="279" t="s">
        <v>367</v>
      </c>
      <c r="C83" s="278" t="s">
        <v>298</v>
      </c>
      <c r="D83" s="277"/>
      <c r="E83" s="322">
        <v>0</v>
      </c>
      <c r="F83" s="322">
        <v>0</v>
      </c>
      <c r="G83" s="322">
        <v>0</v>
      </c>
      <c r="H83" s="322">
        <v>0</v>
      </c>
      <c r="I83" s="323">
        <v>0</v>
      </c>
      <c r="L83" s="356"/>
    </row>
    <row r="84" spans="1:12" ht="13.5" hidden="1" thickBot="1" x14ac:dyDescent="0.25">
      <c r="B84" s="279" t="s">
        <v>368</v>
      </c>
      <c r="C84" s="278" t="s">
        <v>298</v>
      </c>
      <c r="D84" s="277"/>
      <c r="E84" s="322">
        <v>0</v>
      </c>
      <c r="F84" s="322">
        <v>0</v>
      </c>
      <c r="G84" s="322">
        <v>0</v>
      </c>
      <c r="H84" s="322">
        <v>0</v>
      </c>
      <c r="I84" s="323">
        <v>0</v>
      </c>
      <c r="L84" s="356"/>
    </row>
    <row r="85" spans="1:12" ht="13.5" hidden="1" thickBot="1" x14ac:dyDescent="0.25">
      <c r="B85" s="279" t="s">
        <v>355</v>
      </c>
      <c r="C85" s="278" t="s">
        <v>298</v>
      </c>
      <c r="D85" s="277"/>
      <c r="E85" s="322">
        <v>0</v>
      </c>
      <c r="F85" s="322">
        <v>0</v>
      </c>
      <c r="G85" s="322">
        <v>0</v>
      </c>
      <c r="H85" s="322">
        <v>0</v>
      </c>
      <c r="I85" s="323">
        <v>0</v>
      </c>
      <c r="L85" s="356"/>
    </row>
    <row r="86" spans="1:12" ht="13.5" hidden="1" thickBot="1" x14ac:dyDescent="0.25">
      <c r="B86" s="279" t="s">
        <v>369</v>
      </c>
      <c r="C86" s="278" t="s">
        <v>298</v>
      </c>
      <c r="D86" s="277"/>
      <c r="E86" s="322">
        <v>0</v>
      </c>
      <c r="F86" s="322">
        <v>0</v>
      </c>
      <c r="G86" s="322">
        <v>0</v>
      </c>
      <c r="H86" s="322">
        <v>0</v>
      </c>
      <c r="I86" s="323">
        <v>0</v>
      </c>
      <c r="L86" s="356"/>
    </row>
    <row r="87" spans="1:12" ht="13.5" hidden="1" thickBot="1" x14ac:dyDescent="0.25">
      <c r="B87" s="279" t="s">
        <v>356</v>
      </c>
      <c r="C87" s="278" t="s">
        <v>298</v>
      </c>
      <c r="D87" s="277"/>
      <c r="E87" s="322">
        <v>0</v>
      </c>
      <c r="F87" s="322">
        <v>0</v>
      </c>
      <c r="G87" s="322">
        <v>0</v>
      </c>
      <c r="H87" s="322">
        <v>0</v>
      </c>
      <c r="I87" s="323">
        <v>0</v>
      </c>
      <c r="L87" s="356"/>
    </row>
    <row r="88" spans="1:12" ht="13.5" hidden="1" thickBot="1" x14ac:dyDescent="0.25">
      <c r="B88" s="279" t="s">
        <v>370</v>
      </c>
      <c r="C88" s="278" t="s">
        <v>298</v>
      </c>
      <c r="D88" s="277"/>
      <c r="E88" s="322">
        <v>0</v>
      </c>
      <c r="F88" s="322">
        <v>0</v>
      </c>
      <c r="G88" s="322">
        <v>0</v>
      </c>
      <c r="H88" s="322">
        <v>0</v>
      </c>
      <c r="I88" s="323">
        <v>0</v>
      </c>
      <c r="L88" s="356"/>
    </row>
    <row r="89" spans="1:12" ht="13.5" hidden="1" thickBot="1" x14ac:dyDescent="0.25">
      <c r="B89" s="279" t="s">
        <v>357</v>
      </c>
      <c r="C89" s="278" t="s">
        <v>298</v>
      </c>
      <c r="D89" s="277"/>
      <c r="E89" s="372"/>
      <c r="F89" s="372"/>
      <c r="G89" s="372"/>
      <c r="H89" s="277"/>
      <c r="I89" s="373"/>
    </row>
    <row r="90" spans="1:12" ht="13.5" hidden="1" thickBot="1" x14ac:dyDescent="0.25">
      <c r="B90" s="276" t="s">
        <v>358</v>
      </c>
      <c r="C90" s="275" t="s">
        <v>298</v>
      </c>
      <c r="D90" s="285"/>
      <c r="E90" s="285"/>
      <c r="F90" s="285"/>
      <c r="G90" s="285"/>
      <c r="H90" s="285"/>
      <c r="I90" s="370"/>
    </row>
    <row r="91" spans="1:12" ht="13.5" hidden="1" thickBot="1" x14ac:dyDescent="0.25">
      <c r="B91" s="362" t="s">
        <v>360</v>
      </c>
      <c r="C91" s="363"/>
      <c r="D91" s="363"/>
      <c r="E91" s="364">
        <v>0</v>
      </c>
      <c r="F91" s="364">
        <v>0</v>
      </c>
      <c r="G91" s="364">
        <v>0</v>
      </c>
      <c r="H91" s="364">
        <v>0</v>
      </c>
      <c r="I91" s="365">
        <v>0</v>
      </c>
    </row>
    <row r="92" spans="1:12" ht="13.5" hidden="1" thickBot="1" x14ac:dyDescent="0.25">
      <c r="A92" s="366"/>
      <c r="B92" s="367"/>
      <c r="C92" s="366"/>
      <c r="D92" s="366"/>
      <c r="E92" s="368"/>
      <c r="F92" s="368"/>
      <c r="G92" s="368"/>
      <c r="H92" s="368"/>
      <c r="I92" s="368"/>
    </row>
    <row r="93" spans="1:12" ht="13.5" hidden="1" thickBot="1" x14ac:dyDescent="0.25">
      <c r="B93" s="284" t="s">
        <v>371</v>
      </c>
      <c r="C93" s="282"/>
      <c r="D93" s="282"/>
      <c r="E93" s="282" t="s">
        <v>408</v>
      </c>
      <c r="F93" s="282" t="s">
        <v>409</v>
      </c>
      <c r="G93" s="282" t="s">
        <v>410</v>
      </c>
      <c r="H93" s="282" t="s">
        <v>411</v>
      </c>
      <c r="I93" s="371" t="s">
        <v>364</v>
      </c>
    </row>
    <row r="94" spans="1:12" ht="13.5" hidden="1" thickBot="1" x14ac:dyDescent="0.25">
      <c r="B94" s="279" t="s">
        <v>372</v>
      </c>
      <c r="C94" s="278" t="s">
        <v>298</v>
      </c>
      <c r="D94" s="277"/>
      <c r="E94" s="322">
        <v>0</v>
      </c>
      <c r="F94" s="322">
        <v>0</v>
      </c>
      <c r="G94" s="322">
        <v>0</v>
      </c>
      <c r="H94" s="322">
        <v>0</v>
      </c>
      <c r="I94" s="323">
        <v>0</v>
      </c>
      <c r="L94" s="356"/>
    </row>
    <row r="95" spans="1:12" ht="13.5" hidden="1" thickBot="1" x14ac:dyDescent="0.25">
      <c r="B95" s="279" t="s">
        <v>373</v>
      </c>
      <c r="C95" s="278" t="s">
        <v>298</v>
      </c>
      <c r="D95" s="277"/>
      <c r="E95" s="322">
        <v>0</v>
      </c>
      <c r="F95" s="322">
        <v>0</v>
      </c>
      <c r="G95" s="322">
        <v>0</v>
      </c>
      <c r="H95" s="322">
        <v>0</v>
      </c>
      <c r="I95" s="323">
        <v>0</v>
      </c>
      <c r="L95" s="356"/>
    </row>
    <row r="96" spans="1:12" ht="13.5" hidden="1" thickBot="1" x14ac:dyDescent="0.25">
      <c r="B96" s="279" t="s">
        <v>374</v>
      </c>
      <c r="C96" s="278" t="s">
        <v>298</v>
      </c>
      <c r="D96" s="277"/>
      <c r="E96" s="322">
        <v>0</v>
      </c>
      <c r="F96" s="322">
        <v>0</v>
      </c>
      <c r="G96" s="322">
        <v>0</v>
      </c>
      <c r="H96" s="322">
        <v>0</v>
      </c>
      <c r="I96" s="323">
        <v>0</v>
      </c>
      <c r="L96" s="356"/>
    </row>
    <row r="97" spans="1:13" ht="13.5" hidden="1" thickBot="1" x14ac:dyDescent="0.25">
      <c r="B97" s="279" t="s">
        <v>375</v>
      </c>
      <c r="C97" s="278" t="s">
        <v>298</v>
      </c>
      <c r="D97" s="277"/>
      <c r="E97" s="322">
        <v>0</v>
      </c>
      <c r="F97" s="322">
        <v>0</v>
      </c>
      <c r="G97" s="322">
        <v>0</v>
      </c>
      <c r="H97" s="322">
        <v>0</v>
      </c>
      <c r="I97" s="323">
        <v>0</v>
      </c>
      <c r="L97" s="356"/>
    </row>
    <row r="98" spans="1:13" ht="13.5" hidden="1" thickBot="1" x14ac:dyDescent="0.25">
      <c r="B98" s="279" t="s">
        <v>355</v>
      </c>
      <c r="C98" s="278" t="s">
        <v>298</v>
      </c>
      <c r="D98" s="277"/>
      <c r="E98" s="322">
        <v>0</v>
      </c>
      <c r="F98" s="322">
        <v>0</v>
      </c>
      <c r="G98" s="322">
        <v>0</v>
      </c>
      <c r="H98" s="322">
        <v>0</v>
      </c>
      <c r="I98" s="323">
        <v>0</v>
      </c>
      <c r="L98" s="356"/>
    </row>
    <row r="99" spans="1:13" ht="13.5" hidden="1" thickBot="1" x14ac:dyDescent="0.25">
      <c r="B99" s="279" t="s">
        <v>376</v>
      </c>
      <c r="C99" s="278" t="s">
        <v>298</v>
      </c>
      <c r="D99" s="277"/>
      <c r="E99" s="322">
        <v>0</v>
      </c>
      <c r="F99" s="322">
        <v>0</v>
      </c>
      <c r="G99" s="322">
        <v>0</v>
      </c>
      <c r="H99" s="322">
        <v>0</v>
      </c>
      <c r="I99" s="323">
        <v>0</v>
      </c>
      <c r="L99" s="356"/>
    </row>
    <row r="100" spans="1:13" ht="13.5" hidden="1" thickBot="1" x14ac:dyDescent="0.25">
      <c r="B100" s="279" t="s">
        <v>356</v>
      </c>
      <c r="C100" s="278" t="s">
        <v>298</v>
      </c>
      <c r="D100" s="277"/>
      <c r="E100" s="322">
        <v>0</v>
      </c>
      <c r="F100" s="322">
        <v>0</v>
      </c>
      <c r="G100" s="322">
        <v>0</v>
      </c>
      <c r="H100" s="322">
        <v>0</v>
      </c>
      <c r="I100" s="323">
        <v>0</v>
      </c>
      <c r="L100" s="356"/>
    </row>
    <row r="101" spans="1:13" ht="13.5" hidden="1" thickBot="1" x14ac:dyDescent="0.25">
      <c r="B101" s="279" t="s">
        <v>377</v>
      </c>
      <c r="C101" s="278" t="s">
        <v>298</v>
      </c>
      <c r="D101" s="277"/>
      <c r="E101" s="322">
        <v>0</v>
      </c>
      <c r="F101" s="322">
        <v>0</v>
      </c>
      <c r="G101" s="322">
        <v>0</v>
      </c>
      <c r="H101" s="322">
        <v>0</v>
      </c>
      <c r="I101" s="323">
        <v>0</v>
      </c>
      <c r="L101" s="356"/>
    </row>
    <row r="102" spans="1:13" ht="13.5" hidden="1" thickBot="1" x14ac:dyDescent="0.25">
      <c r="B102" s="279" t="s">
        <v>357</v>
      </c>
      <c r="C102" s="278" t="s">
        <v>298</v>
      </c>
      <c r="D102" s="277"/>
      <c r="E102" s="277"/>
      <c r="F102" s="277"/>
      <c r="G102" s="277"/>
      <c r="H102" s="277"/>
      <c r="I102" s="373"/>
    </row>
    <row r="103" spans="1:13" ht="13.5" hidden="1" thickBot="1" x14ac:dyDescent="0.25">
      <c r="B103" s="276" t="s">
        <v>358</v>
      </c>
      <c r="C103" s="275" t="s">
        <v>298</v>
      </c>
      <c r="D103" s="285"/>
      <c r="E103" s="285"/>
      <c r="F103" s="285"/>
      <c r="G103" s="285"/>
      <c r="H103" s="285"/>
      <c r="I103" s="370"/>
    </row>
    <row r="104" spans="1:13" ht="13.5" hidden="1" thickBot="1" x14ac:dyDescent="0.25">
      <c r="B104" s="362" t="s">
        <v>360</v>
      </c>
      <c r="C104" s="363"/>
      <c r="D104" s="363"/>
      <c r="E104" s="364">
        <v>0</v>
      </c>
      <c r="F104" s="364">
        <v>0</v>
      </c>
      <c r="G104" s="364">
        <v>0</v>
      </c>
      <c r="H104" s="364">
        <v>0</v>
      </c>
      <c r="I104" s="365">
        <v>0</v>
      </c>
    </row>
    <row r="105" spans="1:13" ht="13.5" hidden="1" thickBot="1" x14ac:dyDescent="0.25">
      <c r="A105" s="366"/>
      <c r="B105" s="367"/>
      <c r="C105" s="366"/>
      <c r="D105" s="366"/>
      <c r="E105" s="368"/>
      <c r="F105" s="368"/>
      <c r="G105" s="368"/>
      <c r="H105" s="368"/>
      <c r="I105" s="368"/>
    </row>
    <row r="106" spans="1:13" x14ac:dyDescent="0.2">
      <c r="B106" s="284" t="s">
        <v>301</v>
      </c>
      <c r="C106" s="282"/>
      <c r="D106" s="282"/>
      <c r="E106" s="282">
        <v>2017</v>
      </c>
      <c r="F106" s="282">
        <v>2018</v>
      </c>
      <c r="G106" s="282">
        <v>2019</v>
      </c>
      <c r="H106" s="282">
        <v>2020</v>
      </c>
      <c r="I106" s="281">
        <v>2021</v>
      </c>
    </row>
    <row r="107" spans="1:13" ht="21" x14ac:dyDescent="0.35">
      <c r="B107" s="279" t="s">
        <v>300</v>
      </c>
      <c r="C107" s="278" t="s">
        <v>298</v>
      </c>
      <c r="D107" s="277"/>
      <c r="E107" s="531">
        <v>1295.1334406122028</v>
      </c>
      <c r="F107" s="531">
        <v>1375.1296454122028</v>
      </c>
      <c r="G107" s="531">
        <v>1500.0398102122028</v>
      </c>
      <c r="H107" s="531">
        <v>1541.0645174122028</v>
      </c>
      <c r="I107" s="532">
        <v>1597.3106150122028</v>
      </c>
      <c r="M107" s="350"/>
    </row>
    <row r="108" spans="1:13" ht="21" x14ac:dyDescent="0.35">
      <c r="B108" s="279" t="s">
        <v>299</v>
      </c>
      <c r="C108" s="278" t="s">
        <v>298</v>
      </c>
      <c r="D108" s="277"/>
      <c r="E108" s="531">
        <v>518.73874310509211</v>
      </c>
      <c r="F108" s="531">
        <v>550.77955791990689</v>
      </c>
      <c r="G108" s="531">
        <v>600.80972458657357</v>
      </c>
      <c r="H108" s="531">
        <v>617.24131717916612</v>
      </c>
      <c r="I108" s="532">
        <v>639.76952088286987</v>
      </c>
    </row>
    <row r="109" spans="1:13" x14ac:dyDescent="0.2">
      <c r="B109" s="279" t="s">
        <v>355</v>
      </c>
      <c r="C109" s="278" t="s">
        <v>298</v>
      </c>
      <c r="D109" s="277"/>
      <c r="E109" s="322">
        <v>834.43145843643106</v>
      </c>
      <c r="F109" s="322">
        <v>1029.6983762446503</v>
      </c>
      <c r="G109" s="322">
        <v>1151.3209789843761</v>
      </c>
      <c r="H109" s="322">
        <v>1200.365855696705</v>
      </c>
      <c r="I109" s="323">
        <v>1274.9472118610884</v>
      </c>
    </row>
    <row r="110" spans="1:13" ht="13.5" thickBot="1" x14ac:dyDescent="0.25">
      <c r="B110" s="276" t="s">
        <v>356</v>
      </c>
      <c r="C110" s="275" t="s">
        <v>298</v>
      </c>
      <c r="D110" s="285"/>
      <c r="E110" s="357">
        <v>1145.9051144360001</v>
      </c>
      <c r="F110" s="357">
        <v>1395.5884332613332</v>
      </c>
      <c r="G110" s="357">
        <v>1806.6590392647479</v>
      </c>
      <c r="H110" s="357">
        <v>1878.5693312955605</v>
      </c>
      <c r="I110" s="374">
        <v>2006.503340893496</v>
      </c>
    </row>
    <row r="111" spans="1:13" ht="13.5" thickBot="1" x14ac:dyDescent="0.25">
      <c r="B111" s="362" t="s">
        <v>360</v>
      </c>
      <c r="C111" s="363"/>
      <c r="D111" s="363"/>
      <c r="E111" s="364">
        <v>3794.2087565897259</v>
      </c>
      <c r="F111" s="364">
        <v>4351.1960128380933</v>
      </c>
      <c r="G111" s="364">
        <v>5058.8295530478999</v>
      </c>
      <c r="H111" s="364">
        <v>5237.2410215836335</v>
      </c>
      <c r="I111" s="365">
        <v>5518.5306886496564</v>
      </c>
    </row>
    <row r="112" spans="1:13" ht="13.5" thickBot="1" x14ac:dyDescent="0.25">
      <c r="B112" s="367"/>
      <c r="C112" s="366"/>
      <c r="D112" s="366"/>
      <c r="E112" s="368"/>
      <c r="F112" s="368"/>
      <c r="G112" s="368"/>
      <c r="H112" s="368"/>
      <c r="I112" s="368"/>
    </row>
    <row r="113" spans="2:16" x14ac:dyDescent="0.2">
      <c r="B113" s="284" t="s">
        <v>378</v>
      </c>
      <c r="C113" s="282"/>
      <c r="D113" s="282"/>
      <c r="E113" s="282">
        <v>2017</v>
      </c>
      <c r="F113" s="282">
        <v>2018</v>
      </c>
      <c r="G113" s="282">
        <v>2019</v>
      </c>
      <c r="H113" s="282">
        <v>2020</v>
      </c>
      <c r="I113" s="281">
        <v>2021</v>
      </c>
    </row>
    <row r="114" spans="2:16" x14ac:dyDescent="0.2">
      <c r="B114" s="279" t="s">
        <v>379</v>
      </c>
      <c r="C114" s="278" t="s">
        <v>298</v>
      </c>
      <c r="D114" s="277"/>
      <c r="E114" s="326">
        <v>3968.2589607008567</v>
      </c>
      <c r="F114" s="326">
        <v>4611.2581096897229</v>
      </c>
      <c r="G114" s="326">
        <v>5837.3934028983376</v>
      </c>
      <c r="H114" s="326">
        <v>4637.0328355575821</v>
      </c>
      <c r="I114" s="327">
        <v>4111.0328355575812</v>
      </c>
      <c r="P114" s="368"/>
    </row>
    <row r="115" spans="2:16" x14ac:dyDescent="0.2">
      <c r="B115" s="279" t="s">
        <v>380</v>
      </c>
      <c r="C115" s="278" t="s">
        <v>298</v>
      </c>
      <c r="D115" s="277"/>
      <c r="E115" s="326">
        <v>3222.9667539023421</v>
      </c>
      <c r="F115" s="326">
        <v>3405.3667539023422</v>
      </c>
      <c r="G115" s="326">
        <v>2347.3667539023422</v>
      </c>
      <c r="H115" s="326">
        <v>1573.366753902342</v>
      </c>
      <c r="I115" s="327">
        <v>2173.3667539023422</v>
      </c>
      <c r="L115" s="350"/>
    </row>
    <row r="116" spans="2:16" ht="13.5" thickBot="1" x14ac:dyDescent="0.25">
      <c r="B116" s="362" t="s">
        <v>360</v>
      </c>
      <c r="C116" s="363"/>
      <c r="D116" s="363"/>
      <c r="E116" s="364">
        <v>7191.2257146031989</v>
      </c>
      <c r="F116" s="364">
        <v>8016.6248635920656</v>
      </c>
      <c r="G116" s="364">
        <v>8184.7601568006794</v>
      </c>
      <c r="H116" s="364">
        <v>6210.3995894599238</v>
      </c>
      <c r="I116" s="365">
        <v>6284.3995894599229</v>
      </c>
    </row>
    <row r="117" spans="2:16" ht="13.5" thickBot="1" x14ac:dyDescent="0.25">
      <c r="B117" s="367"/>
      <c r="C117" s="366"/>
      <c r="D117" s="366"/>
      <c r="E117" s="368"/>
      <c r="F117" s="368"/>
      <c r="G117" s="368"/>
      <c r="H117" s="368"/>
      <c r="I117" s="368"/>
    </row>
    <row r="118" spans="2:16" x14ac:dyDescent="0.2">
      <c r="B118" s="284" t="s">
        <v>381</v>
      </c>
      <c r="C118" s="375"/>
      <c r="D118" s="282" t="s">
        <v>382</v>
      </c>
      <c r="E118" s="282" t="s">
        <v>408</v>
      </c>
      <c r="F118" s="282" t="s">
        <v>409</v>
      </c>
      <c r="G118" s="282" t="s">
        <v>410</v>
      </c>
      <c r="H118" s="281" t="s">
        <v>411</v>
      </c>
      <c r="I118" s="368"/>
    </row>
    <row r="119" spans="2:16" x14ac:dyDescent="0.2">
      <c r="B119" s="376" t="s">
        <v>383</v>
      </c>
      <c r="C119" s="377" t="s">
        <v>298</v>
      </c>
      <c r="D119" s="378">
        <v>170557.88357331316</v>
      </c>
      <c r="E119" s="378">
        <v>52880.646466189479</v>
      </c>
      <c r="F119" s="378">
        <v>51737.370143098349</v>
      </c>
      <c r="G119" s="378">
        <v>50536.593820007212</v>
      </c>
      <c r="H119" s="379">
        <v>49278.31749691609</v>
      </c>
      <c r="I119" s="368"/>
    </row>
    <row r="120" spans="2:16" x14ac:dyDescent="0.2">
      <c r="B120" s="376" t="s">
        <v>384</v>
      </c>
      <c r="C120" s="377" t="s">
        <v>298</v>
      </c>
      <c r="D120" s="378">
        <v>185282.36754163794</v>
      </c>
      <c r="E120" s="378">
        <v>44090.436494044377</v>
      </c>
      <c r="F120" s="378">
        <v>63462.596692312109</v>
      </c>
      <c r="G120" s="378">
        <v>62528.613014028146</v>
      </c>
      <c r="H120" s="379">
        <v>53594.62933574419</v>
      </c>
      <c r="I120" s="368"/>
    </row>
    <row r="121" spans="2:16" x14ac:dyDescent="0.2">
      <c r="B121" s="380" t="s">
        <v>385</v>
      </c>
      <c r="C121" s="381" t="s">
        <v>298</v>
      </c>
      <c r="D121" s="382">
        <v>170557.88357331316</v>
      </c>
      <c r="E121" s="382">
        <v>51220.151770625169</v>
      </c>
      <c r="F121" s="382">
        <v>51220.151770625169</v>
      </c>
      <c r="G121" s="382">
        <v>51220.151770625169</v>
      </c>
      <c r="H121" s="383">
        <v>51220.151770625169</v>
      </c>
      <c r="I121" s="368"/>
    </row>
    <row r="122" spans="2:16" ht="13.5" thickBot="1" x14ac:dyDescent="0.25">
      <c r="B122" s="384" t="s">
        <v>386</v>
      </c>
      <c r="C122" s="385" t="s">
        <v>298</v>
      </c>
      <c r="D122" s="386">
        <v>185282.367541638</v>
      </c>
      <c r="E122" s="386">
        <v>55642.054105485877</v>
      </c>
      <c r="F122" s="386">
        <v>55642.054105485877</v>
      </c>
      <c r="G122" s="386">
        <v>55642.054105485877</v>
      </c>
      <c r="H122" s="387">
        <v>55642.054105485877</v>
      </c>
      <c r="I122" s="368"/>
    </row>
    <row r="123" spans="2:16" ht="13.5" thickBot="1" x14ac:dyDescent="0.25">
      <c r="B123" s="367"/>
      <c r="C123" s="366"/>
      <c r="D123" s="368"/>
      <c r="E123" s="368"/>
      <c r="F123" s="368"/>
      <c r="G123" s="368"/>
      <c r="H123" s="368"/>
      <c r="I123" s="368"/>
    </row>
    <row r="124" spans="2:16" x14ac:dyDescent="0.2">
      <c r="B124" s="284" t="s">
        <v>387</v>
      </c>
      <c r="C124" s="282"/>
      <c r="D124" s="282"/>
      <c r="E124" s="282" t="s">
        <v>408</v>
      </c>
      <c r="F124" s="282" t="s">
        <v>409</v>
      </c>
      <c r="G124" s="282" t="s">
        <v>410</v>
      </c>
      <c r="H124" s="281" t="s">
        <v>411</v>
      </c>
    </row>
    <row r="125" spans="2:16" x14ac:dyDescent="0.2">
      <c r="B125" s="388" t="s">
        <v>388</v>
      </c>
      <c r="C125" s="389"/>
      <c r="D125" s="390"/>
      <c r="E125" s="391"/>
      <c r="F125" s="391"/>
      <c r="G125" s="391"/>
      <c r="H125" s="392"/>
    </row>
    <row r="126" spans="2:16" outlineLevel="1" x14ac:dyDescent="0.2">
      <c r="B126" s="376" t="s">
        <v>383</v>
      </c>
      <c r="C126" s="377" t="s">
        <v>298</v>
      </c>
      <c r="D126" s="378"/>
      <c r="E126" s="393">
        <v>51220.151770625169</v>
      </c>
      <c r="F126" s="393">
        <v>51220.151770625169</v>
      </c>
      <c r="G126" s="393">
        <v>51220.151770625169</v>
      </c>
      <c r="H126" s="394">
        <v>51220.151770625169</v>
      </c>
    </row>
    <row r="127" spans="2:16" hidden="1" outlineLevel="1" x14ac:dyDescent="0.2">
      <c r="B127" s="376" t="s">
        <v>389</v>
      </c>
      <c r="C127" s="377" t="s">
        <v>298</v>
      </c>
      <c r="D127" s="395"/>
      <c r="E127" s="393">
        <v>0</v>
      </c>
      <c r="F127" s="393">
        <v>0</v>
      </c>
      <c r="G127" s="393">
        <v>0</v>
      </c>
      <c r="H127" s="394">
        <v>0</v>
      </c>
      <c r="J127" s="356"/>
    </row>
    <row r="128" spans="2:16" hidden="1" x14ac:dyDescent="0.2">
      <c r="B128" s="396" t="s">
        <v>390</v>
      </c>
      <c r="C128" s="397" t="s">
        <v>298</v>
      </c>
      <c r="D128" s="398"/>
      <c r="E128" s="399">
        <v>51220.151770625169</v>
      </c>
      <c r="F128" s="399">
        <v>51220.151770625169</v>
      </c>
      <c r="G128" s="399">
        <v>51220.151770625169</v>
      </c>
      <c r="H128" s="400">
        <v>51220.151770625169</v>
      </c>
      <c r="J128" s="356"/>
    </row>
    <row r="129" spans="2:9" x14ac:dyDescent="0.2">
      <c r="B129" s="401" t="s">
        <v>391</v>
      </c>
      <c r="C129" s="377"/>
      <c r="D129" s="395"/>
      <c r="E129" s="393"/>
      <c r="F129" s="393"/>
      <c r="G129" s="393"/>
      <c r="H129" s="394"/>
    </row>
    <row r="130" spans="2:9" outlineLevel="1" x14ac:dyDescent="0.2">
      <c r="B130" s="376" t="s">
        <v>384</v>
      </c>
      <c r="C130" s="377" t="s">
        <v>298</v>
      </c>
      <c r="D130" s="395"/>
      <c r="E130" s="393">
        <v>55642.054105485877</v>
      </c>
      <c r="F130" s="393">
        <v>55642.054105485877</v>
      </c>
      <c r="G130" s="393">
        <v>55642.054105485877</v>
      </c>
      <c r="H130" s="394">
        <v>55642.054105485877</v>
      </c>
    </row>
    <row r="131" spans="2:9" hidden="1" outlineLevel="1" x14ac:dyDescent="0.2">
      <c r="B131" s="376" t="s">
        <v>392</v>
      </c>
      <c r="C131" s="377" t="s">
        <v>298</v>
      </c>
      <c r="D131" s="395"/>
      <c r="E131" s="378">
        <v>0</v>
      </c>
      <c r="F131" s="378">
        <v>0</v>
      </c>
      <c r="G131" s="378">
        <v>0</v>
      </c>
      <c r="H131" s="379">
        <v>0</v>
      </c>
    </row>
    <row r="132" spans="2:9" hidden="1" x14ac:dyDescent="0.2">
      <c r="B132" s="396" t="s">
        <v>393</v>
      </c>
      <c r="C132" s="397" t="s">
        <v>298</v>
      </c>
      <c r="D132" s="402"/>
      <c r="E132" s="399">
        <v>55642.054105485877</v>
      </c>
      <c r="F132" s="399">
        <v>55642.054105485877</v>
      </c>
      <c r="G132" s="399">
        <v>55642.054105485877</v>
      </c>
      <c r="H132" s="400">
        <v>55642.054105485877</v>
      </c>
    </row>
    <row r="133" spans="2:9" ht="21" x14ac:dyDescent="0.35">
      <c r="B133" s="403" t="s">
        <v>301</v>
      </c>
      <c r="C133" s="404" t="s">
        <v>298</v>
      </c>
      <c r="D133" s="535"/>
      <c r="E133" s="536">
        <v>4072.7023847139099</v>
      </c>
      <c r="F133" s="536">
        <v>4705.0127829429966</v>
      </c>
      <c r="G133" s="536">
        <v>5148.0352873157663</v>
      </c>
      <c r="H133" s="537">
        <v>5377.885855116645</v>
      </c>
    </row>
    <row r="134" spans="2:9" x14ac:dyDescent="0.2">
      <c r="B134" s="405" t="s">
        <v>394</v>
      </c>
      <c r="C134" s="377"/>
      <c r="D134" s="395"/>
      <c r="E134" s="378"/>
      <c r="F134" s="378"/>
      <c r="G134" s="378"/>
      <c r="H134" s="379"/>
    </row>
    <row r="135" spans="2:9" outlineLevel="1" x14ac:dyDescent="0.2">
      <c r="B135" s="376" t="s">
        <v>379</v>
      </c>
      <c r="C135" s="377" t="s">
        <v>298</v>
      </c>
      <c r="D135" s="395"/>
      <c r="E135" s="378">
        <v>4289.7585351952894</v>
      </c>
      <c r="F135" s="378">
        <v>5224.3257562940307</v>
      </c>
      <c r="G135" s="378">
        <v>5237.2131192279594</v>
      </c>
      <c r="H135" s="379">
        <v>4374.0328355575821</v>
      </c>
    </row>
    <row r="136" spans="2:9" outlineLevel="1" x14ac:dyDescent="0.2">
      <c r="B136" s="376" t="s">
        <v>380</v>
      </c>
      <c r="C136" s="377" t="s">
        <v>298</v>
      </c>
      <c r="D136" s="395"/>
      <c r="E136" s="378">
        <v>3314.166753902342</v>
      </c>
      <c r="F136" s="378">
        <v>2876.3667539023422</v>
      </c>
      <c r="G136" s="378">
        <v>1960.3667539023422</v>
      </c>
      <c r="H136" s="379">
        <v>1873.3667539023422</v>
      </c>
    </row>
    <row r="137" spans="2:9" ht="13.5" thickBot="1" x14ac:dyDescent="0.25">
      <c r="B137" s="406" t="s">
        <v>395</v>
      </c>
      <c r="C137" s="385" t="s">
        <v>298</v>
      </c>
      <c r="D137" s="407"/>
      <c r="E137" s="408">
        <v>7603.9252890976313</v>
      </c>
      <c r="F137" s="408">
        <v>8100.6925101963734</v>
      </c>
      <c r="G137" s="408">
        <v>7197.5798731303021</v>
      </c>
      <c r="H137" s="409">
        <v>6247.3995894599248</v>
      </c>
    </row>
    <row r="138" spans="2:9" ht="13.5" thickBot="1" x14ac:dyDescent="0.25">
      <c r="B138" s="410" t="s">
        <v>396</v>
      </c>
      <c r="C138" s="411" t="s">
        <v>298</v>
      </c>
      <c r="D138" s="412"/>
      <c r="E138" s="413">
        <v>118538.83354992259</v>
      </c>
      <c r="F138" s="413">
        <v>119667.91116925042</v>
      </c>
      <c r="G138" s="413">
        <v>119207.82103655713</v>
      </c>
      <c r="H138" s="414">
        <v>118487.49132068762</v>
      </c>
    </row>
    <row r="139" spans="2:9" ht="13.5" thickBot="1" x14ac:dyDescent="0.25">
      <c r="B139" s="367"/>
      <c r="C139" s="366"/>
      <c r="D139" s="366"/>
      <c r="E139" s="368"/>
      <c r="F139" s="368"/>
      <c r="G139" s="368"/>
      <c r="H139" s="368"/>
      <c r="I139" s="368"/>
    </row>
    <row r="140" spans="2:9" x14ac:dyDescent="0.2">
      <c r="B140" s="415" t="s">
        <v>397</v>
      </c>
      <c r="C140" s="416"/>
      <c r="D140" s="416"/>
      <c r="E140" s="282" t="s">
        <v>408</v>
      </c>
      <c r="F140" s="282" t="s">
        <v>409</v>
      </c>
      <c r="G140" s="282" t="s">
        <v>410</v>
      </c>
      <c r="H140" s="281" t="s">
        <v>411</v>
      </c>
      <c r="I140" s="368"/>
    </row>
    <row r="141" spans="2:9" ht="13.5" thickBot="1" x14ac:dyDescent="0.25">
      <c r="B141" s="328"/>
      <c r="C141" s="417"/>
      <c r="D141" s="417"/>
      <c r="E141" s="418">
        <v>0.96332140106614561</v>
      </c>
      <c r="F141" s="418">
        <v>0.8939508176189177</v>
      </c>
      <c r="G141" s="418">
        <v>0.82957574018088143</v>
      </c>
      <c r="H141" s="419">
        <v>0.76983643298151583</v>
      </c>
      <c r="I141" s="368"/>
    </row>
    <row r="142" spans="2:9" ht="13.5" thickBot="1" x14ac:dyDescent="0.25">
      <c r="B142" s="367"/>
      <c r="C142" s="366"/>
      <c r="D142" s="366"/>
      <c r="E142" s="368"/>
      <c r="F142" s="420"/>
      <c r="G142" s="368"/>
      <c r="H142" s="368"/>
      <c r="I142" s="368"/>
    </row>
    <row r="143" spans="2:9" x14ac:dyDescent="0.2">
      <c r="B143" s="284" t="s">
        <v>398</v>
      </c>
      <c r="C143" s="282"/>
      <c r="D143" s="282" t="s">
        <v>297</v>
      </c>
      <c r="E143" s="282" t="s">
        <v>408</v>
      </c>
      <c r="F143" s="282" t="s">
        <v>409</v>
      </c>
      <c r="G143" s="282" t="s">
        <v>410</v>
      </c>
      <c r="H143" s="281" t="s">
        <v>411</v>
      </c>
      <c r="I143" s="421"/>
    </row>
    <row r="144" spans="2:9" x14ac:dyDescent="0.2">
      <c r="B144" s="388" t="s">
        <v>388</v>
      </c>
      <c r="C144" s="389"/>
      <c r="D144" s="390"/>
      <c r="E144" s="391"/>
      <c r="F144" s="391"/>
      <c r="G144" s="391"/>
      <c r="H144" s="392"/>
      <c r="I144" s="356"/>
    </row>
    <row r="145" spans="2:15" outlineLevel="1" x14ac:dyDescent="0.2">
      <c r="B145" s="376" t="s">
        <v>383</v>
      </c>
      <c r="C145" s="377" t="s">
        <v>298</v>
      </c>
      <c r="D145" s="393">
        <v>177051.89917357813</v>
      </c>
      <c r="E145" s="393">
        <v>49341.468366499255</v>
      </c>
      <c r="F145" s="393">
        <v>45788.296553915425</v>
      </c>
      <c r="G145" s="393">
        <v>42490.995317293462</v>
      </c>
      <c r="H145" s="394">
        <v>39431.138935869953</v>
      </c>
      <c r="I145" s="356"/>
    </row>
    <row r="146" spans="2:15" hidden="1" outlineLevel="1" x14ac:dyDescent="0.2">
      <c r="B146" s="376" t="s">
        <v>389</v>
      </c>
      <c r="C146" s="377" t="s">
        <v>298</v>
      </c>
      <c r="D146" s="378">
        <v>0</v>
      </c>
      <c r="E146" s="378">
        <v>0</v>
      </c>
      <c r="F146" s="378">
        <v>0</v>
      </c>
      <c r="G146" s="378">
        <v>0</v>
      </c>
      <c r="H146" s="379">
        <v>0</v>
      </c>
      <c r="I146" s="356"/>
    </row>
    <row r="147" spans="2:15" hidden="1" x14ac:dyDescent="0.2">
      <c r="B147" s="396" t="s">
        <v>390</v>
      </c>
      <c r="C147" s="397" t="s">
        <v>298</v>
      </c>
      <c r="D147" s="399">
        <v>177051.89917357813</v>
      </c>
      <c r="E147" s="399">
        <v>49341.468366499255</v>
      </c>
      <c r="F147" s="399">
        <v>45788.296553915425</v>
      </c>
      <c r="G147" s="399">
        <v>42490.995317293462</v>
      </c>
      <c r="H147" s="400">
        <v>39431.138935869953</v>
      </c>
      <c r="I147" s="422"/>
    </row>
    <row r="148" spans="2:15" x14ac:dyDescent="0.2">
      <c r="B148" s="401" t="s">
        <v>391</v>
      </c>
      <c r="C148" s="377"/>
      <c r="D148" s="378">
        <v>0</v>
      </c>
      <c r="E148" s="378"/>
      <c r="F148" s="378"/>
      <c r="G148" s="378"/>
      <c r="H148" s="379"/>
      <c r="I148" s="356"/>
    </row>
    <row r="149" spans="2:15" outlineLevel="1" x14ac:dyDescent="0.2">
      <c r="B149" s="376" t="s">
        <v>384</v>
      </c>
      <c r="C149" s="377" t="s">
        <v>298</v>
      </c>
      <c r="D149" s="393">
        <v>192337.01995676494</v>
      </c>
      <c r="E149" s="393">
        <v>53601.181519094935</v>
      </c>
      <c r="F149" s="393">
        <v>49741.259761595153</v>
      </c>
      <c r="G149" s="393">
        <v>46159.298219743097</v>
      </c>
      <c r="H149" s="394">
        <v>42835.280456331755</v>
      </c>
      <c r="I149" s="356"/>
    </row>
    <row r="150" spans="2:15" hidden="1" outlineLevel="1" x14ac:dyDescent="0.2">
      <c r="B150" s="376" t="s">
        <v>392</v>
      </c>
      <c r="C150" s="377" t="s">
        <v>298</v>
      </c>
      <c r="D150" s="378">
        <v>0</v>
      </c>
      <c r="E150" s="378">
        <v>0</v>
      </c>
      <c r="F150" s="378">
        <v>0</v>
      </c>
      <c r="G150" s="378">
        <v>0</v>
      </c>
      <c r="H150" s="379">
        <v>0</v>
      </c>
      <c r="I150" s="356"/>
    </row>
    <row r="151" spans="2:15" hidden="1" x14ac:dyDescent="0.2">
      <c r="B151" s="396" t="s">
        <v>393</v>
      </c>
      <c r="C151" s="397" t="s">
        <v>298</v>
      </c>
      <c r="D151" s="399">
        <v>192337.01995676494</v>
      </c>
      <c r="E151" s="399">
        <v>53601.181519094935</v>
      </c>
      <c r="F151" s="399">
        <v>49741.259761595153</v>
      </c>
      <c r="G151" s="399">
        <v>46159.298219743097</v>
      </c>
      <c r="H151" s="400">
        <v>42835.280456331755</v>
      </c>
      <c r="I151" s="356"/>
    </row>
    <row r="152" spans="2:15" ht="16.5" customHeight="1" x14ac:dyDescent="0.3">
      <c r="B152" s="403" t="s">
        <v>301</v>
      </c>
      <c r="C152" s="404" t="s">
        <v>298</v>
      </c>
      <c r="D152" s="508">
        <v>16540.149039224409</v>
      </c>
      <c r="E152" s="508">
        <v>3923.3213673680361</v>
      </c>
      <c r="F152" s="508">
        <v>4206.0500242193511</v>
      </c>
      <c r="G152" s="508">
        <v>4270.6851839522733</v>
      </c>
      <c r="H152" s="509">
        <v>4140.0924636847467</v>
      </c>
      <c r="I152" s="422"/>
    </row>
    <row r="153" spans="2:15" x14ac:dyDescent="0.2">
      <c r="B153" s="405" t="s">
        <v>394</v>
      </c>
      <c r="C153" s="377"/>
      <c r="D153" s="378">
        <v>0</v>
      </c>
      <c r="E153" s="378"/>
      <c r="F153" s="378"/>
      <c r="G153" s="378"/>
      <c r="H153" s="379"/>
      <c r="I153" s="356"/>
    </row>
    <row r="154" spans="2:15" outlineLevel="1" x14ac:dyDescent="0.2">
      <c r="B154" s="376" t="s">
        <v>379</v>
      </c>
      <c r="C154" s="377" t="s">
        <v>298</v>
      </c>
      <c r="D154" s="378">
        <v>16514.661269444634</v>
      </c>
      <c r="E154" s="378">
        <v>4132.4162023597828</v>
      </c>
      <c r="F154" s="378">
        <v>4670.2902813466189</v>
      </c>
      <c r="G154" s="378">
        <v>4344.6649498685574</v>
      </c>
      <c r="H154" s="379">
        <v>3367.2898358696743</v>
      </c>
      <c r="I154" s="356"/>
    </row>
    <row r="155" spans="2:15" outlineLevel="1" x14ac:dyDescent="0.2">
      <c r="B155" s="376" t="s">
        <v>380</v>
      </c>
      <c r="C155" s="377" t="s">
        <v>298</v>
      </c>
      <c r="D155" s="378">
        <v>8832.3968525437831</v>
      </c>
      <c r="E155" s="378">
        <v>3192.6077607360439</v>
      </c>
      <c r="F155" s="378">
        <v>2571.3304114228713</v>
      </c>
      <c r="G155" s="378">
        <v>1626.2727008945274</v>
      </c>
      <c r="H155" s="379">
        <v>1442.1859794903403</v>
      </c>
      <c r="I155" s="356"/>
    </row>
    <row r="156" spans="2:15" ht="13.5" thickBot="1" x14ac:dyDescent="0.25">
      <c r="B156" s="406" t="s">
        <v>395</v>
      </c>
      <c r="C156" s="385" t="s">
        <v>298</v>
      </c>
      <c r="D156" s="408">
        <v>25347.058121988419</v>
      </c>
      <c r="E156" s="408">
        <v>7325.0239630958267</v>
      </c>
      <c r="F156" s="408">
        <v>7241.6206927694902</v>
      </c>
      <c r="G156" s="408">
        <v>5970.937650763085</v>
      </c>
      <c r="H156" s="409">
        <v>4809.4758153600142</v>
      </c>
      <c r="I156" s="356"/>
    </row>
    <row r="157" spans="2:15" ht="13.5" thickBot="1" x14ac:dyDescent="0.25">
      <c r="B157" s="410" t="s">
        <v>396</v>
      </c>
      <c r="C157" s="411" t="s">
        <v>298</v>
      </c>
      <c r="D157" s="413">
        <v>411276.12629155582</v>
      </c>
      <c r="E157" s="413">
        <v>114190.99521605804</v>
      </c>
      <c r="F157" s="413">
        <v>106977.22703249942</v>
      </c>
      <c r="G157" s="413">
        <v>98891.916371751911</v>
      </c>
      <c r="H157" s="414">
        <v>91215.987671246461</v>
      </c>
      <c r="I157" s="356"/>
    </row>
    <row r="158" spans="2:15" ht="13.5" thickBot="1" x14ac:dyDescent="0.25">
      <c r="B158" s="366"/>
      <c r="C158" s="423"/>
      <c r="D158" s="366"/>
      <c r="E158" s="366"/>
      <c r="F158" s="366"/>
      <c r="G158" s="366"/>
      <c r="H158" s="366"/>
      <c r="I158" s="366"/>
    </row>
    <row r="159" spans="2:15" ht="39" thickBot="1" x14ac:dyDescent="0.25">
      <c r="B159" s="424"/>
      <c r="C159" s="425"/>
      <c r="D159" s="424" t="s">
        <v>399</v>
      </c>
      <c r="E159" s="426" t="s">
        <v>400</v>
      </c>
      <c r="F159" s="427" t="s">
        <v>401</v>
      </c>
    </row>
    <row r="160" spans="2:15" x14ac:dyDescent="0.2">
      <c r="B160" s="428" t="s">
        <v>402</v>
      </c>
      <c r="C160" s="332"/>
      <c r="D160" s="378">
        <v>205159.74981340076</v>
      </c>
      <c r="E160" s="393">
        <v>177051.89917357813</v>
      </c>
      <c r="F160" s="429">
        <v>-0.13700470323924452</v>
      </c>
      <c r="I160" s="421"/>
      <c r="J160" s="430"/>
      <c r="K160" s="430"/>
      <c r="L160" s="430"/>
      <c r="M160" s="430"/>
      <c r="N160" s="430"/>
      <c r="O160" s="430"/>
    </row>
    <row r="161" spans="2:15" x14ac:dyDescent="0.2">
      <c r="B161" s="431" t="s">
        <v>403</v>
      </c>
      <c r="C161" s="332"/>
      <c r="D161" s="378">
        <v>14985.132639654974</v>
      </c>
      <c r="E161" s="393">
        <v>192337.01995676494</v>
      </c>
      <c r="F161" s="429">
        <v>11.835189689798662</v>
      </c>
      <c r="I161" s="356"/>
      <c r="J161" s="430"/>
      <c r="K161" s="430"/>
      <c r="L161" s="430"/>
      <c r="M161" s="430"/>
      <c r="N161" s="430"/>
      <c r="O161" s="430"/>
    </row>
    <row r="162" spans="2:15" x14ac:dyDescent="0.2">
      <c r="B162" s="428" t="s">
        <v>301</v>
      </c>
      <c r="C162" s="332"/>
      <c r="D162" s="378">
        <v>16135.123894473314</v>
      </c>
      <c r="E162" s="619">
        <v>16540.149039224409</v>
      </c>
      <c r="F162" s="429">
        <v>2.5102078385021098E-2</v>
      </c>
      <c r="I162" s="356"/>
      <c r="J162" s="430"/>
      <c r="K162" s="432"/>
      <c r="L162" s="430"/>
      <c r="M162" s="430"/>
      <c r="N162" s="430"/>
      <c r="O162" s="430"/>
    </row>
    <row r="163" spans="2:15" ht="13.5" thickBot="1" x14ac:dyDescent="0.25">
      <c r="B163" s="433" t="s">
        <v>404</v>
      </c>
      <c r="C163" s="332"/>
      <c r="D163" s="386">
        <v>39377.625397864402</v>
      </c>
      <c r="E163" s="408">
        <v>25347.058121988419</v>
      </c>
      <c r="F163" s="434">
        <v>-0.35630810984953176</v>
      </c>
      <c r="I163" s="356"/>
      <c r="J163" s="430"/>
      <c r="K163" s="432"/>
      <c r="L163" s="430"/>
      <c r="M163" s="430"/>
      <c r="N163" s="430"/>
      <c r="O163" s="430"/>
    </row>
    <row r="164" spans="2:15" ht="13.5" thickBot="1" x14ac:dyDescent="0.25">
      <c r="D164" s="435">
        <v>2013</v>
      </c>
      <c r="E164" s="435">
        <v>2014</v>
      </c>
      <c r="F164" s="435">
        <v>2015</v>
      </c>
      <c r="G164" s="435">
        <v>2016</v>
      </c>
      <c r="H164" s="435">
        <v>2017</v>
      </c>
      <c r="I164" s="435">
        <v>2018</v>
      </c>
      <c r="J164" s="435">
        <v>2019</v>
      </c>
      <c r="K164" s="435">
        <v>2020</v>
      </c>
      <c r="L164" s="430"/>
      <c r="M164" s="436"/>
      <c r="N164" s="436"/>
      <c r="O164" s="436"/>
    </row>
    <row r="165" spans="2:15" ht="13.5" outlineLevel="1" thickBot="1" x14ac:dyDescent="0.25">
      <c r="B165" s="437"/>
      <c r="C165" s="438"/>
      <c r="D165" s="439" t="s">
        <v>412</v>
      </c>
      <c r="E165" s="439" t="s">
        <v>413</v>
      </c>
      <c r="F165" s="439" t="s">
        <v>414</v>
      </c>
      <c r="G165" s="439" t="s">
        <v>415</v>
      </c>
      <c r="H165" s="439" t="s">
        <v>408</v>
      </c>
      <c r="I165" s="439" t="s">
        <v>409</v>
      </c>
      <c r="J165" s="439" t="s">
        <v>410</v>
      </c>
      <c r="K165" s="440" t="s">
        <v>411</v>
      </c>
      <c r="L165" s="436"/>
      <c r="M165" s="436"/>
      <c r="N165" s="436"/>
      <c r="O165" s="436"/>
    </row>
    <row r="166" spans="2:15" outlineLevel="1" x14ac:dyDescent="0.2">
      <c r="B166" s="441" t="s">
        <v>383</v>
      </c>
      <c r="C166" s="442"/>
      <c r="D166" s="443">
        <v>46803.674244779482</v>
      </c>
      <c r="E166" s="443">
        <v>49433.844294925722</v>
      </c>
      <c r="F166" s="443">
        <v>51533.836253773079</v>
      </c>
      <c r="G166" s="443">
        <v>57388.395019922486</v>
      </c>
      <c r="H166" s="443">
        <v>49341.468366499255</v>
      </c>
      <c r="I166" s="443">
        <v>45788.296553915425</v>
      </c>
      <c r="J166" s="443">
        <v>42490.995317293462</v>
      </c>
      <c r="K166" s="444">
        <v>39431.138935869953</v>
      </c>
      <c r="L166" s="436"/>
      <c r="M166" s="436"/>
      <c r="N166" s="436"/>
      <c r="O166" s="436"/>
    </row>
    <row r="167" spans="2:15" outlineLevel="1" x14ac:dyDescent="0.2">
      <c r="B167" s="445" t="s">
        <v>384</v>
      </c>
      <c r="C167" s="332"/>
      <c r="D167" s="446">
        <v>0</v>
      </c>
      <c r="E167" s="446">
        <v>0</v>
      </c>
      <c r="F167" s="446">
        <v>0</v>
      </c>
      <c r="G167" s="446">
        <v>14985.132639654974</v>
      </c>
      <c r="H167" s="446">
        <v>53601.181519094935</v>
      </c>
      <c r="I167" s="446">
        <v>49741.259761595153</v>
      </c>
      <c r="J167" s="446">
        <v>46159.298219743097</v>
      </c>
      <c r="K167" s="447">
        <v>42835.280456331755</v>
      </c>
      <c r="L167" s="430"/>
      <c r="M167" s="430"/>
      <c r="N167" s="430"/>
      <c r="O167" s="430"/>
    </row>
    <row r="168" spans="2:15" outlineLevel="1" x14ac:dyDescent="0.2">
      <c r="B168" s="324" t="s">
        <v>301</v>
      </c>
      <c r="C168" s="332"/>
      <c r="D168" s="446">
        <v>3604.9012297143545</v>
      </c>
      <c r="E168" s="446">
        <v>4576.4353171315834</v>
      </c>
      <c r="F168" s="446">
        <v>4167.307019035673</v>
      </c>
      <c r="G168" s="446">
        <v>3786.4803285917028</v>
      </c>
      <c r="H168" s="448">
        <v>3923.3213673680361</v>
      </c>
      <c r="I168" s="448">
        <v>4206.0500242193511</v>
      </c>
      <c r="J168" s="448">
        <v>4270.6851839522733</v>
      </c>
      <c r="K168" s="449">
        <v>4140.0924636847467</v>
      </c>
      <c r="L168" s="430"/>
      <c r="M168" s="430"/>
      <c r="N168" s="430"/>
      <c r="O168" s="430"/>
    </row>
    <row r="169" spans="2:15" ht="13.5" outlineLevel="1" thickBot="1" x14ac:dyDescent="0.25">
      <c r="B169" s="328" t="s">
        <v>395</v>
      </c>
      <c r="C169" s="450"/>
      <c r="D169" s="451">
        <v>9931.3789322943703</v>
      </c>
      <c r="E169" s="451">
        <v>11844.477979530508</v>
      </c>
      <c r="F169" s="451">
        <v>8683.7317450607316</v>
      </c>
      <c r="G169" s="451">
        <v>8918.0367409787941</v>
      </c>
      <c r="H169" s="451">
        <v>7325.0239630958267</v>
      </c>
      <c r="I169" s="451">
        <v>7241.6206927694902</v>
      </c>
      <c r="J169" s="451">
        <v>5970.937650763085</v>
      </c>
      <c r="K169" s="452">
        <v>4809.4758153600142</v>
      </c>
      <c r="L169" s="430"/>
      <c r="M169" s="430"/>
      <c r="N169" s="430"/>
      <c r="O169" s="430"/>
    </row>
    <row r="170" spans="2:15" ht="13.5" thickBot="1" x14ac:dyDescent="0.25">
      <c r="C170" s="332"/>
      <c r="D170" s="332"/>
      <c r="E170" s="453"/>
      <c r="F170" s="453"/>
      <c r="G170" s="453"/>
      <c r="H170" s="453"/>
      <c r="I170" s="453"/>
      <c r="J170" s="453"/>
      <c r="K170" s="453"/>
      <c r="L170" s="436"/>
      <c r="M170" s="436"/>
      <c r="N170" s="436"/>
      <c r="O170" s="436"/>
    </row>
    <row r="171" spans="2:15" ht="13.5" outlineLevel="1" thickBot="1" x14ac:dyDescent="0.25">
      <c r="B171" s="454" t="s">
        <v>405</v>
      </c>
      <c r="C171" s="455"/>
      <c r="D171" s="456">
        <v>60339.954406788209</v>
      </c>
      <c r="E171" s="456">
        <v>65854.757591587811</v>
      </c>
      <c r="F171" s="456">
        <v>64384.875017869483</v>
      </c>
      <c r="G171" s="456">
        <v>85078.04472914795</v>
      </c>
      <c r="H171" s="456">
        <v>114190.99521605804</v>
      </c>
      <c r="I171" s="456">
        <v>106977.22703249942</v>
      </c>
      <c r="J171" s="456">
        <v>98891.916371751911</v>
      </c>
      <c r="K171" s="457">
        <v>91215.987671246461</v>
      </c>
    </row>
    <row r="172" spans="2:15" ht="13.5" outlineLevel="1" thickBot="1" x14ac:dyDescent="0.25">
      <c r="C172" s="332"/>
      <c r="D172" s="332"/>
      <c r="E172" s="430"/>
      <c r="F172" s="430"/>
      <c r="G172" s="430"/>
      <c r="H172" s="430"/>
      <c r="I172" s="430"/>
      <c r="J172" s="430"/>
      <c r="K172" s="430"/>
      <c r="M172" s="430"/>
      <c r="N172" s="430"/>
      <c r="O172" s="430"/>
    </row>
    <row r="173" spans="2:15" ht="13.5" outlineLevel="1" thickBot="1" x14ac:dyDescent="0.25">
      <c r="B173" s="454" t="s">
        <v>406</v>
      </c>
      <c r="C173" s="458"/>
      <c r="D173" s="458"/>
      <c r="E173" s="459"/>
      <c r="F173" s="459"/>
      <c r="G173" s="459"/>
      <c r="H173" s="460">
        <v>0.34219110911156059</v>
      </c>
      <c r="I173" s="460">
        <v>-6.3172828732332431E-2</v>
      </c>
      <c r="J173" s="460">
        <v>-7.5579736781653639E-2</v>
      </c>
      <c r="K173" s="461">
        <v>-7.7619374587203915E-2</v>
      </c>
      <c r="L173" s="453"/>
      <c r="M173" s="453"/>
      <c r="N173" s="453"/>
      <c r="O173" s="453"/>
    </row>
    <row r="174" spans="2:15" ht="13.5" outlineLevel="1" thickBot="1" x14ac:dyDescent="0.25">
      <c r="C174" s="332"/>
      <c r="D174" s="332"/>
      <c r="E174" s="430"/>
      <c r="F174" s="430"/>
      <c r="G174" s="430"/>
      <c r="H174" s="430"/>
      <c r="I174" s="430"/>
      <c r="J174" s="430"/>
      <c r="K174" s="430"/>
      <c r="L174" s="462"/>
      <c r="M174" s="462"/>
      <c r="N174" s="462"/>
      <c r="O174" s="462"/>
    </row>
    <row r="175" spans="2:15" ht="13.5" outlineLevel="1" thickBot="1" x14ac:dyDescent="0.25">
      <c r="B175" s="454" t="s">
        <v>407</v>
      </c>
      <c r="C175" s="463"/>
      <c r="D175" s="463"/>
      <c r="E175" s="459"/>
      <c r="F175" s="459"/>
      <c r="G175" s="459"/>
      <c r="H175" s="460">
        <v>0.34219110911156059</v>
      </c>
      <c r="I175" s="460">
        <v>0.27901828037922816</v>
      </c>
      <c r="J175" s="460">
        <v>0.20343854359757452</v>
      </c>
      <c r="K175" s="461">
        <v>0.1258191690103706</v>
      </c>
      <c r="L175" s="430"/>
      <c r="M175" s="430"/>
      <c r="N175" s="430"/>
      <c r="O175" s="430"/>
    </row>
    <row r="176" spans="2:15" x14ac:dyDescent="0.2">
      <c r="L176" s="430"/>
      <c r="M176" s="430"/>
      <c r="N176" s="430"/>
      <c r="O176" s="430"/>
    </row>
    <row r="177" spans="12:16" x14ac:dyDescent="0.2">
      <c r="L177" s="464">
        <v>2021</v>
      </c>
      <c r="M177" s="430"/>
      <c r="N177" s="430"/>
      <c r="O177" s="430"/>
    </row>
    <row r="178" spans="12:16" x14ac:dyDescent="0.2">
      <c r="L178" s="430"/>
      <c r="M178" s="430"/>
      <c r="N178" s="430"/>
      <c r="O178" s="430"/>
    </row>
    <row r="179" spans="12:16" x14ac:dyDescent="0.2">
      <c r="L179" s="430"/>
      <c r="M179" s="430"/>
      <c r="N179" s="430"/>
      <c r="O179" s="430"/>
    </row>
    <row r="180" spans="12:16" x14ac:dyDescent="0.2">
      <c r="L180" s="430"/>
      <c r="M180" s="430"/>
      <c r="N180" s="430"/>
      <c r="O180" s="430"/>
    </row>
    <row r="181" spans="12:16" x14ac:dyDescent="0.2">
      <c r="L181" s="430"/>
      <c r="M181" s="430"/>
      <c r="N181" s="430"/>
      <c r="O181" s="430"/>
    </row>
    <row r="182" spans="12:16" x14ac:dyDescent="0.2">
      <c r="L182" s="465"/>
      <c r="M182" s="465"/>
      <c r="N182" s="465"/>
      <c r="O182" s="465"/>
    </row>
    <row r="183" spans="12:16" x14ac:dyDescent="0.2">
      <c r="L183" s="453"/>
      <c r="M183" s="453"/>
      <c r="N183" s="453"/>
      <c r="O183" s="453"/>
    </row>
    <row r="184" spans="12:16" x14ac:dyDescent="0.2">
      <c r="L184" s="430"/>
      <c r="M184" s="430"/>
      <c r="N184" s="430"/>
      <c r="O184" s="430"/>
    </row>
    <row r="185" spans="12:16" x14ac:dyDescent="0.2">
      <c r="L185" s="430"/>
      <c r="M185" s="430"/>
      <c r="N185" s="430"/>
      <c r="O185" s="430"/>
    </row>
    <row r="186" spans="12:16" x14ac:dyDescent="0.2">
      <c r="L186" s="430"/>
      <c r="M186" s="430"/>
      <c r="N186" s="430"/>
      <c r="O186" s="430"/>
    </row>
    <row r="187" spans="12:16" x14ac:dyDescent="0.2">
      <c r="L187" s="430"/>
      <c r="M187" s="430"/>
      <c r="N187" s="430"/>
      <c r="O187" s="430"/>
    </row>
    <row r="188" spans="12:16" x14ac:dyDescent="0.2">
      <c r="L188" s="430"/>
      <c r="M188" s="430"/>
      <c r="N188" s="430"/>
      <c r="O188" s="430"/>
    </row>
    <row r="189" spans="12:16" x14ac:dyDescent="0.2">
      <c r="L189" s="453"/>
      <c r="M189" s="453"/>
      <c r="N189" s="453"/>
      <c r="O189" s="453"/>
    </row>
    <row r="190" spans="12:16" x14ac:dyDescent="0.2">
      <c r="L190" s="466"/>
      <c r="M190" s="466"/>
      <c r="N190" s="466"/>
      <c r="O190" s="466"/>
    </row>
    <row r="191" spans="12:16" x14ac:dyDescent="0.2">
      <c r="L191" s="466"/>
      <c r="M191" s="466"/>
      <c r="N191" s="466"/>
      <c r="O191" s="466"/>
      <c r="P191" s="465"/>
    </row>
    <row r="192" spans="12:16" x14ac:dyDescent="0.2">
      <c r="L192" s="465"/>
      <c r="M192" s="465"/>
      <c r="N192" s="465"/>
      <c r="O192" s="465"/>
    </row>
    <row r="193" spans="2:15" x14ac:dyDescent="0.2">
      <c r="L193" s="453"/>
      <c r="M193" s="453"/>
      <c r="N193" s="453"/>
      <c r="O193" s="453"/>
    </row>
    <row r="194" spans="2:15" x14ac:dyDescent="0.2">
      <c r="L194" s="466"/>
      <c r="M194" s="466"/>
      <c r="N194" s="466"/>
      <c r="O194" s="466"/>
    </row>
    <row r="195" spans="2:15" x14ac:dyDescent="0.2">
      <c r="L195" s="466"/>
      <c r="M195" s="466"/>
      <c r="N195" s="466"/>
      <c r="O195" s="466"/>
    </row>
    <row r="196" spans="2:15" x14ac:dyDescent="0.2">
      <c r="B196" s="1801"/>
      <c r="C196" s="1801"/>
      <c r="D196" s="1801"/>
      <c r="E196" s="1801"/>
      <c r="F196" s="1801"/>
      <c r="G196" s="1801"/>
      <c r="H196" s="1801"/>
      <c r="I196" s="1801"/>
    </row>
    <row r="197" spans="2:15" x14ac:dyDescent="0.2">
      <c r="B197" s="1801"/>
      <c r="C197" s="1801"/>
      <c r="D197" s="1801"/>
      <c r="E197" s="1801"/>
      <c r="F197" s="1801"/>
      <c r="G197" s="1801"/>
      <c r="H197" s="1801"/>
      <c r="I197" s="1801"/>
    </row>
    <row r="198" spans="2:15" x14ac:dyDescent="0.2">
      <c r="B198" s="1801"/>
      <c r="C198" s="1801"/>
      <c r="D198" s="1801"/>
      <c r="E198" s="1801"/>
      <c r="F198" s="1801"/>
      <c r="G198" s="1801"/>
      <c r="H198" s="1801"/>
      <c r="I198" s="1801"/>
    </row>
    <row r="199" spans="2:15" ht="3" customHeight="1" x14ac:dyDescent="0.2">
      <c r="B199" s="300"/>
    </row>
    <row r="200" spans="2:15" ht="3" customHeight="1" x14ac:dyDescent="0.2">
      <c r="B200" s="300"/>
    </row>
    <row r="201" spans="2:15" x14ac:dyDescent="0.2">
      <c r="B201" s="467"/>
      <c r="C201" s="468"/>
      <c r="D201" s="468"/>
      <c r="E201" s="467"/>
      <c r="F201" s="467"/>
      <c r="G201" s="467"/>
      <c r="H201" s="467"/>
      <c r="I201" s="467"/>
    </row>
    <row r="202" spans="2:15" x14ac:dyDescent="0.2">
      <c r="B202" s="469"/>
      <c r="C202" s="468"/>
      <c r="D202" s="468"/>
      <c r="E202" s="468"/>
      <c r="F202" s="470"/>
      <c r="G202" s="470"/>
      <c r="H202" s="470"/>
      <c r="I202" s="470"/>
    </row>
    <row r="203" spans="2:15" x14ac:dyDescent="0.2">
      <c r="B203" s="468"/>
      <c r="C203" s="468"/>
      <c r="D203" s="468"/>
      <c r="E203" s="471"/>
      <c r="F203" s="471"/>
      <c r="G203" s="471"/>
      <c r="H203" s="471"/>
      <c r="I203" s="471"/>
      <c r="J203" s="333"/>
      <c r="K203" s="333"/>
    </row>
    <row r="204" spans="2:15" x14ac:dyDescent="0.2">
      <c r="B204" s="472"/>
      <c r="C204" s="468"/>
      <c r="D204" s="468"/>
      <c r="E204" s="471"/>
      <c r="F204" s="471"/>
      <c r="G204" s="471"/>
      <c r="H204" s="471"/>
      <c r="I204" s="471"/>
      <c r="J204" s="333"/>
      <c r="K204" s="333"/>
    </row>
    <row r="205" spans="2:15" x14ac:dyDescent="0.2">
      <c r="B205" s="468"/>
      <c r="C205" s="468"/>
      <c r="D205" s="468"/>
      <c r="E205" s="471"/>
      <c r="F205" s="471"/>
      <c r="G205" s="471"/>
      <c r="H205" s="471"/>
      <c r="I205" s="471"/>
      <c r="J205" s="333"/>
      <c r="K205" s="333"/>
    </row>
    <row r="206" spans="2:15" x14ac:dyDescent="0.2">
      <c r="B206" s="468"/>
      <c r="C206" s="468"/>
      <c r="D206" s="468"/>
      <c r="E206" s="471"/>
      <c r="F206" s="471"/>
      <c r="G206" s="471"/>
      <c r="H206" s="471"/>
      <c r="I206" s="471"/>
      <c r="J206" s="333"/>
      <c r="K206" s="333"/>
    </row>
    <row r="207" spans="2:15" x14ac:dyDescent="0.2">
      <c r="B207" s="468"/>
      <c r="C207" s="468"/>
      <c r="D207" s="468"/>
      <c r="E207" s="471"/>
      <c r="F207" s="471"/>
      <c r="G207" s="471"/>
      <c r="H207" s="471"/>
      <c r="I207" s="471"/>
      <c r="J207" s="333"/>
      <c r="K207" s="333"/>
    </row>
    <row r="208" spans="2:15" x14ac:dyDescent="0.2">
      <c r="B208" s="468"/>
      <c r="C208" s="468"/>
      <c r="D208" s="468"/>
      <c r="E208" s="471"/>
      <c r="F208" s="471"/>
      <c r="G208" s="471"/>
      <c r="H208" s="471"/>
      <c r="I208" s="471"/>
      <c r="J208" s="333"/>
      <c r="K208" s="333"/>
    </row>
    <row r="209" spans="2:16" x14ac:dyDescent="0.2">
      <c r="B209" s="468"/>
      <c r="C209" s="468"/>
      <c r="D209" s="468"/>
      <c r="E209" s="468"/>
      <c r="F209" s="468"/>
      <c r="G209" s="468"/>
      <c r="H209" s="468"/>
      <c r="I209" s="468"/>
    </row>
    <row r="210" spans="2:16" x14ac:dyDescent="0.2">
      <c r="B210" s="469"/>
      <c r="C210" s="468"/>
      <c r="D210" s="468"/>
      <c r="E210" s="467"/>
      <c r="F210" s="467"/>
      <c r="G210" s="467"/>
      <c r="H210" s="467"/>
      <c r="I210" s="467"/>
    </row>
    <row r="211" spans="2:16" x14ac:dyDescent="0.2">
      <c r="B211" s="469"/>
      <c r="C211" s="468"/>
      <c r="D211" s="468"/>
      <c r="E211" s="471"/>
      <c r="F211" s="471"/>
      <c r="G211" s="471"/>
      <c r="H211" s="471"/>
      <c r="I211" s="471"/>
    </row>
    <row r="212" spans="2:16" x14ac:dyDescent="0.2">
      <c r="B212" s="473"/>
      <c r="C212" s="468"/>
      <c r="D212" s="468"/>
      <c r="E212" s="471"/>
      <c r="F212" s="471"/>
      <c r="G212" s="471"/>
      <c r="H212" s="471"/>
      <c r="I212" s="471"/>
      <c r="J212" s="333"/>
      <c r="K212" s="333"/>
    </row>
    <row r="213" spans="2:16" x14ac:dyDescent="0.2">
      <c r="B213" s="469"/>
      <c r="C213" s="468"/>
      <c r="D213" s="468"/>
      <c r="E213" s="471"/>
      <c r="F213" s="471"/>
      <c r="G213" s="471"/>
      <c r="H213" s="471"/>
      <c r="I213" s="471"/>
    </row>
    <row r="214" spans="2:16" x14ac:dyDescent="0.2">
      <c r="B214" s="469"/>
      <c r="C214" s="468"/>
      <c r="D214" s="468"/>
      <c r="E214" s="471"/>
      <c r="F214" s="471"/>
      <c r="G214" s="471"/>
      <c r="H214" s="471"/>
      <c r="I214" s="471"/>
    </row>
    <row r="215" spans="2:16" x14ac:dyDescent="0.2">
      <c r="B215" s="468"/>
      <c r="C215" s="468"/>
      <c r="D215" s="468"/>
      <c r="E215" s="471"/>
      <c r="F215" s="471"/>
      <c r="G215" s="471"/>
      <c r="H215" s="471"/>
      <c r="I215" s="471"/>
      <c r="J215" s="350"/>
      <c r="K215" s="350"/>
    </row>
    <row r="216" spans="2:16" x14ac:dyDescent="0.2">
      <c r="B216" s="468"/>
      <c r="C216" s="468"/>
      <c r="D216" s="468"/>
      <c r="E216" s="471"/>
      <c r="F216" s="471"/>
      <c r="G216" s="471"/>
      <c r="H216" s="471"/>
      <c r="I216" s="471"/>
    </row>
    <row r="217" spans="2:16" x14ac:dyDescent="0.2">
      <c r="B217" s="468"/>
      <c r="C217" s="468"/>
      <c r="D217" s="468"/>
      <c r="E217" s="468"/>
      <c r="F217" s="468"/>
      <c r="G217" s="468"/>
      <c r="H217" s="468"/>
      <c r="I217" s="468"/>
    </row>
    <row r="218" spans="2:16" x14ac:dyDescent="0.2">
      <c r="B218" s="469"/>
      <c r="C218" s="468"/>
      <c r="D218" s="468"/>
      <c r="E218" s="474"/>
      <c r="F218" s="474"/>
      <c r="G218" s="474"/>
      <c r="H218" s="474"/>
      <c r="I218" s="474"/>
      <c r="N218" s="300"/>
      <c r="O218" s="300"/>
      <c r="P218" s="300"/>
    </row>
    <row r="219" spans="2:16" x14ac:dyDescent="0.2">
      <c r="B219" s="468"/>
      <c r="C219" s="468"/>
      <c r="D219" s="468"/>
      <c r="E219" s="468"/>
      <c r="F219" s="468"/>
      <c r="G219" s="468"/>
      <c r="H219" s="468"/>
      <c r="I219" s="468"/>
      <c r="L219" s="300"/>
      <c r="N219" s="300"/>
      <c r="O219" s="300"/>
      <c r="P219" s="300"/>
    </row>
    <row r="220" spans="2:16" x14ac:dyDescent="0.2">
      <c r="B220" s="469"/>
      <c r="C220" s="468"/>
      <c r="D220" s="467"/>
      <c r="E220" s="468"/>
      <c r="F220" s="468"/>
      <c r="G220" s="468"/>
      <c r="H220" s="475"/>
      <c r="I220" s="475"/>
      <c r="N220" s="476"/>
      <c r="O220" s="476"/>
      <c r="P220" s="476"/>
    </row>
    <row r="221" spans="2:16" x14ac:dyDescent="0.2">
      <c r="B221" s="469"/>
      <c r="C221" s="468"/>
      <c r="D221" s="477"/>
      <c r="E221" s="478"/>
      <c r="F221" s="478"/>
      <c r="G221" s="478"/>
      <c r="H221" s="478"/>
      <c r="I221" s="479"/>
      <c r="N221" s="480"/>
      <c r="O221" s="480"/>
      <c r="P221" s="480"/>
    </row>
    <row r="222" spans="2:16" x14ac:dyDescent="0.2">
      <c r="B222" s="481"/>
      <c r="C222" s="468"/>
      <c r="D222" s="482"/>
      <c r="E222" s="483"/>
      <c r="F222" s="483"/>
      <c r="G222" s="483"/>
      <c r="H222" s="483"/>
      <c r="I222" s="479"/>
      <c r="N222" s="480"/>
      <c r="O222" s="480"/>
      <c r="P222" s="480"/>
    </row>
    <row r="223" spans="2:16" x14ac:dyDescent="0.2">
      <c r="B223" s="481"/>
      <c r="C223" s="468"/>
      <c r="D223" s="482"/>
      <c r="E223" s="483"/>
      <c r="F223" s="483"/>
      <c r="G223" s="483"/>
      <c r="H223" s="483"/>
      <c r="I223" s="479"/>
      <c r="L223" s="484"/>
      <c r="N223" s="480"/>
      <c r="O223" s="480"/>
      <c r="P223" s="480"/>
    </row>
    <row r="224" spans="2:16" ht="13.5" customHeight="1" x14ac:dyDescent="0.2">
      <c r="B224" s="473"/>
      <c r="C224" s="468"/>
      <c r="D224" s="485"/>
      <c r="E224" s="478"/>
      <c r="F224" s="478"/>
      <c r="G224" s="478"/>
      <c r="H224" s="478"/>
      <c r="I224" s="479"/>
      <c r="N224" s="480"/>
      <c r="O224" s="480"/>
      <c r="P224" s="480"/>
    </row>
    <row r="225" spans="2:16" x14ac:dyDescent="0.2">
      <c r="B225" s="481"/>
      <c r="C225" s="468"/>
      <c r="D225" s="485"/>
      <c r="E225" s="478"/>
      <c r="F225" s="478"/>
      <c r="G225" s="478"/>
      <c r="H225" s="478"/>
      <c r="I225" s="479"/>
      <c r="L225" s="484"/>
      <c r="N225" s="480"/>
      <c r="O225" s="480"/>
      <c r="P225" s="480"/>
    </row>
    <row r="226" spans="2:16" x14ac:dyDescent="0.2">
      <c r="B226" s="469"/>
      <c r="C226" s="468"/>
      <c r="D226" s="485"/>
      <c r="E226" s="479"/>
      <c r="F226" s="479"/>
      <c r="G226" s="479"/>
      <c r="H226" s="479"/>
      <c r="I226" s="479"/>
      <c r="L226" s="300"/>
      <c r="N226" s="486"/>
      <c r="O226" s="486"/>
      <c r="P226" s="486"/>
    </row>
    <row r="227" spans="2:16" x14ac:dyDescent="0.2">
      <c r="B227" s="469"/>
      <c r="C227" s="468"/>
      <c r="D227" s="485"/>
      <c r="E227" s="479"/>
      <c r="F227" s="479"/>
      <c r="G227" s="479"/>
      <c r="H227" s="479"/>
      <c r="I227" s="479"/>
      <c r="N227" s="480"/>
      <c r="O227" s="480"/>
      <c r="P227" s="480"/>
    </row>
    <row r="228" spans="2:16" x14ac:dyDescent="0.2">
      <c r="B228" s="481"/>
      <c r="C228" s="468"/>
      <c r="D228" s="471"/>
      <c r="E228" s="479"/>
      <c r="F228" s="479"/>
      <c r="G228" s="479"/>
      <c r="H228" s="479"/>
      <c r="I228" s="479"/>
      <c r="L228" s="300"/>
      <c r="N228" s="487"/>
      <c r="O228" s="487"/>
      <c r="P228" s="487"/>
    </row>
    <row r="229" spans="2:16" x14ac:dyDescent="0.2">
      <c r="B229" s="481"/>
      <c r="C229" s="468"/>
      <c r="D229" s="471"/>
      <c r="E229" s="479"/>
      <c r="F229" s="479"/>
      <c r="G229" s="479"/>
      <c r="H229" s="479"/>
      <c r="I229" s="479"/>
    </row>
    <row r="230" spans="2:16" x14ac:dyDescent="0.2">
      <c r="B230" s="469"/>
      <c r="C230" s="468"/>
      <c r="D230" s="485"/>
      <c r="E230" s="488"/>
      <c r="F230" s="488"/>
      <c r="G230" s="488"/>
      <c r="H230" s="488"/>
      <c r="I230" s="488"/>
      <c r="L230" s="356"/>
      <c r="N230" s="489"/>
      <c r="O230" s="489"/>
      <c r="P230" s="489"/>
    </row>
    <row r="231" spans="2:16" x14ac:dyDescent="0.2">
      <c r="B231" s="300"/>
      <c r="D231" s="356"/>
      <c r="E231" s="490"/>
      <c r="G231" s="490"/>
      <c r="H231" s="490"/>
      <c r="I231" s="490"/>
      <c r="L231" s="300"/>
    </row>
    <row r="232" spans="2:16" x14ac:dyDescent="0.2">
      <c r="I232" s="356"/>
      <c r="L232" s="353"/>
    </row>
    <row r="233" spans="2:16" x14ac:dyDescent="0.2">
      <c r="E233" s="356"/>
      <c r="F233" s="356"/>
      <c r="G233" s="356"/>
      <c r="H233" s="356"/>
      <c r="I233" s="356"/>
      <c r="L233" s="353"/>
    </row>
    <row r="234" spans="2:16" x14ac:dyDescent="0.2">
      <c r="D234" s="462"/>
      <c r="E234" s="300"/>
    </row>
    <row r="235" spans="2:16" x14ac:dyDescent="0.2">
      <c r="F235" s="422"/>
      <c r="G235" s="422"/>
      <c r="H235" s="422"/>
      <c r="I235" s="422"/>
    </row>
    <row r="236" spans="2:16" ht="21" customHeight="1" x14ac:dyDescent="0.2">
      <c r="B236" s="1799"/>
      <c r="C236" s="1800"/>
      <c r="F236" s="491"/>
      <c r="G236" s="491"/>
      <c r="H236" s="491"/>
      <c r="I236" s="491"/>
      <c r="N236" s="1801"/>
      <c r="O236" s="1801"/>
      <c r="P236" s="1801"/>
    </row>
    <row r="237" spans="2:16" ht="18.75" customHeight="1" x14ac:dyDescent="0.2">
      <c r="B237" s="492"/>
      <c r="C237" s="493"/>
      <c r="D237" s="491"/>
      <c r="E237" s="491"/>
      <c r="F237" s="491"/>
      <c r="G237" s="491"/>
      <c r="N237" s="353"/>
      <c r="O237" s="353"/>
      <c r="P237" s="353"/>
    </row>
    <row r="238" spans="2:16" ht="18.75" customHeight="1" x14ac:dyDescent="0.2">
      <c r="B238" s="492"/>
      <c r="C238" s="493"/>
      <c r="D238" s="491"/>
      <c r="E238" s="491"/>
      <c r="F238" s="491"/>
      <c r="G238" s="494"/>
      <c r="H238" s="300"/>
      <c r="I238" s="494"/>
      <c r="J238" s="300"/>
      <c r="K238" s="300"/>
      <c r="L238" s="494"/>
      <c r="N238" s="353"/>
      <c r="O238" s="353"/>
      <c r="P238" s="353"/>
    </row>
    <row r="239" spans="2:16" ht="21" customHeight="1" x14ac:dyDescent="0.2">
      <c r="B239" s="467"/>
      <c r="C239" s="495"/>
      <c r="D239" s="491"/>
      <c r="E239" s="491"/>
      <c r="F239" s="300"/>
      <c r="G239" s="356"/>
      <c r="H239" s="356"/>
      <c r="I239" s="356"/>
      <c r="J239" s="356"/>
      <c r="K239" s="356"/>
      <c r="L239" s="356"/>
      <c r="N239" s="353"/>
      <c r="O239" s="353"/>
      <c r="P239" s="353"/>
    </row>
    <row r="240" spans="2:16" x14ac:dyDescent="0.2">
      <c r="D240" s="491"/>
      <c r="E240" s="491"/>
      <c r="N240" s="353"/>
      <c r="O240" s="353"/>
      <c r="P240" s="353"/>
    </row>
    <row r="241" spans="1:16" x14ac:dyDescent="0.2">
      <c r="G241" s="491"/>
      <c r="H241" s="300"/>
      <c r="I241" s="300"/>
      <c r="J241" s="300"/>
      <c r="K241" s="300"/>
      <c r="L241" s="480"/>
      <c r="M241" s="480"/>
      <c r="N241" s="480"/>
      <c r="O241" s="480"/>
      <c r="P241" s="480"/>
    </row>
    <row r="242" spans="1:16" x14ac:dyDescent="0.2">
      <c r="F242" s="300"/>
      <c r="G242" s="356"/>
      <c r="H242" s="356"/>
      <c r="I242" s="356"/>
      <c r="J242" s="356"/>
      <c r="K242" s="356"/>
      <c r="L242" s="480"/>
      <c r="M242" s="480"/>
      <c r="N242" s="480"/>
      <c r="O242" s="480"/>
      <c r="P242" s="480"/>
    </row>
    <row r="243" spans="1:16" x14ac:dyDescent="0.2">
      <c r="A243" s="496"/>
      <c r="B243" s="350"/>
      <c r="C243" s="350"/>
      <c r="D243" s="350"/>
      <c r="E243" s="350"/>
      <c r="F243" s="350"/>
      <c r="G243" s="350"/>
      <c r="H243" s="350"/>
      <c r="I243" s="350"/>
      <c r="J243" s="497"/>
      <c r="K243" s="497"/>
      <c r="L243" s="497"/>
      <c r="M243" s="497"/>
      <c r="N243" s="497"/>
      <c r="O243" s="497"/>
      <c r="P243" s="497"/>
    </row>
    <row r="244" spans="1:16" x14ac:dyDescent="0.2">
      <c r="E244" s="356"/>
      <c r="J244" s="480"/>
      <c r="K244" s="480"/>
      <c r="L244" s="480"/>
      <c r="M244" s="480"/>
      <c r="N244" s="480"/>
      <c r="O244" s="480"/>
      <c r="P244" s="480"/>
    </row>
    <row r="245" spans="1:16" x14ac:dyDescent="0.2">
      <c r="J245" s="480"/>
      <c r="K245" s="480"/>
      <c r="L245" s="480"/>
      <c r="M245" s="480"/>
      <c r="N245" s="480"/>
      <c r="O245" s="480"/>
      <c r="P245" s="480"/>
    </row>
    <row r="246" spans="1:16" x14ac:dyDescent="0.2">
      <c r="D246" s="356"/>
      <c r="I246" s="489"/>
      <c r="J246" s="480"/>
      <c r="K246" s="480"/>
      <c r="L246" s="480"/>
      <c r="M246" s="480"/>
      <c r="N246" s="480"/>
      <c r="O246" s="480"/>
      <c r="P246" s="480"/>
    </row>
    <row r="248" spans="1:16" x14ac:dyDescent="0.2">
      <c r="B248" s="300"/>
      <c r="C248" s="353"/>
      <c r="D248" s="353"/>
      <c r="E248" s="353"/>
      <c r="F248" s="353"/>
      <c r="G248" s="353"/>
      <c r="H248" s="353"/>
      <c r="I248" s="353"/>
    </row>
    <row r="249" spans="1:16" x14ac:dyDescent="0.2">
      <c r="C249" s="332"/>
      <c r="D249" s="498"/>
      <c r="E249" s="498"/>
      <c r="F249" s="498"/>
      <c r="G249" s="498"/>
      <c r="H249" s="498"/>
      <c r="I249" s="498"/>
    </row>
    <row r="250" spans="1:16" x14ac:dyDescent="0.2">
      <c r="C250" s="332"/>
      <c r="D250" s="498"/>
      <c r="E250" s="498"/>
      <c r="F250" s="498"/>
      <c r="G250" s="498"/>
      <c r="H250" s="498"/>
      <c r="I250" s="498"/>
    </row>
    <row r="251" spans="1:16" x14ac:dyDescent="0.2">
      <c r="C251" s="332"/>
      <c r="D251" s="499"/>
      <c r="E251" s="498"/>
      <c r="F251" s="498"/>
      <c r="G251" s="498"/>
      <c r="H251" s="498"/>
      <c r="I251" s="498"/>
    </row>
    <row r="252" spans="1:16" x14ac:dyDescent="0.2">
      <c r="B252" s="300"/>
      <c r="C252" s="332"/>
      <c r="D252" s="332"/>
      <c r="H252" s="500"/>
    </row>
    <row r="253" spans="1:16" x14ac:dyDescent="0.2">
      <c r="C253" s="332"/>
      <c r="D253" s="333"/>
      <c r="E253" s="333"/>
      <c r="F253" s="333"/>
      <c r="G253" s="333"/>
      <c r="H253" s="333"/>
      <c r="I253" s="333"/>
    </row>
    <row r="254" spans="1:16" x14ac:dyDescent="0.2">
      <c r="C254" s="332"/>
      <c r="D254" s="333"/>
      <c r="E254" s="333"/>
      <c r="F254" s="333"/>
      <c r="G254" s="333"/>
      <c r="H254" s="333"/>
      <c r="I254" s="333"/>
    </row>
    <row r="255" spans="1:16" x14ac:dyDescent="0.2">
      <c r="C255" s="332"/>
      <c r="D255" s="333"/>
      <c r="E255" s="333"/>
      <c r="F255" s="333"/>
      <c r="G255" s="333"/>
      <c r="H255" s="333"/>
      <c r="I255" s="333"/>
    </row>
    <row r="256" spans="1:16" x14ac:dyDescent="0.2">
      <c r="C256" s="332"/>
      <c r="D256" s="333"/>
      <c r="E256" s="333"/>
      <c r="F256" s="333"/>
      <c r="G256" s="333"/>
      <c r="H256" s="333"/>
      <c r="I256" s="333"/>
    </row>
    <row r="257" spans="2:16" x14ac:dyDescent="0.2">
      <c r="C257" s="332"/>
      <c r="D257" s="333"/>
      <c r="E257" s="333"/>
      <c r="F257" s="333"/>
      <c r="G257" s="333"/>
      <c r="H257" s="333"/>
      <c r="I257" s="333"/>
    </row>
    <row r="258" spans="2:16" x14ac:dyDescent="0.2">
      <c r="C258" s="332"/>
      <c r="D258" s="333"/>
      <c r="E258" s="333"/>
      <c r="F258" s="333"/>
      <c r="G258" s="333"/>
      <c r="H258" s="333"/>
      <c r="I258" s="333"/>
    </row>
    <row r="259" spans="2:16" x14ac:dyDescent="0.2">
      <c r="B259" s="300"/>
      <c r="C259" s="332"/>
      <c r="D259" s="332"/>
    </row>
    <row r="260" spans="2:16" x14ac:dyDescent="0.2">
      <c r="C260" s="332"/>
      <c r="D260" s="333"/>
      <c r="E260" s="333"/>
      <c r="F260" s="333"/>
      <c r="G260" s="333"/>
      <c r="H260" s="333"/>
      <c r="I260" s="333"/>
    </row>
    <row r="261" spans="2:16" x14ac:dyDescent="0.2">
      <c r="C261" s="332"/>
      <c r="D261" s="333"/>
      <c r="E261" s="333"/>
      <c r="F261" s="333"/>
      <c r="G261" s="333"/>
      <c r="H261" s="333"/>
      <c r="I261" s="333"/>
    </row>
    <row r="262" spans="2:16" x14ac:dyDescent="0.2">
      <c r="B262" s="300"/>
      <c r="C262" s="332"/>
      <c r="D262" s="332"/>
    </row>
    <row r="263" spans="2:16" x14ac:dyDescent="0.2">
      <c r="C263" s="332"/>
      <c r="D263" s="501"/>
      <c r="E263" s="333"/>
      <c r="F263" s="333"/>
      <c r="G263" s="333"/>
      <c r="H263" s="333"/>
      <c r="I263" s="333"/>
    </row>
    <row r="264" spans="2:16" x14ac:dyDescent="0.2">
      <c r="C264" s="332"/>
      <c r="D264" s="501"/>
      <c r="E264" s="502"/>
      <c r="F264" s="502"/>
      <c r="G264" s="502"/>
      <c r="H264" s="502"/>
      <c r="I264" s="502"/>
    </row>
    <row r="266" spans="2:16" x14ac:dyDescent="0.2">
      <c r="B266" s="300"/>
      <c r="C266" s="332"/>
      <c r="D266" s="353"/>
      <c r="E266" s="353"/>
      <c r="F266" s="353"/>
      <c r="G266" s="353"/>
      <c r="H266" s="353"/>
      <c r="I266" s="353"/>
      <c r="J266" s="480"/>
      <c r="K266" s="480"/>
      <c r="L266" s="480"/>
      <c r="M266" s="480"/>
      <c r="N266" s="480"/>
      <c r="O266" s="480"/>
      <c r="P266" s="480"/>
    </row>
    <row r="267" spans="2:16" x14ac:dyDescent="0.2">
      <c r="B267" s="300"/>
      <c r="C267" s="332"/>
      <c r="D267" s="332"/>
      <c r="E267" s="503"/>
      <c r="F267" s="300"/>
      <c r="G267" s="300"/>
      <c r="H267" s="300"/>
      <c r="I267" s="300"/>
      <c r="L267" s="300"/>
      <c r="N267" s="487"/>
      <c r="O267" s="487"/>
      <c r="P267" s="487"/>
    </row>
    <row r="268" spans="2:16" x14ac:dyDescent="0.2">
      <c r="B268" s="300"/>
      <c r="C268" s="332"/>
      <c r="D268" s="332"/>
      <c r="E268" s="462"/>
      <c r="F268" s="462"/>
      <c r="G268" s="462"/>
      <c r="H268" s="462"/>
      <c r="I268" s="462"/>
    </row>
    <row r="269" spans="2:16" x14ac:dyDescent="0.2">
      <c r="C269" s="332"/>
      <c r="D269" s="332"/>
      <c r="E269" s="333"/>
      <c r="F269" s="333"/>
      <c r="G269" s="333"/>
      <c r="H269" s="333"/>
      <c r="I269" s="333"/>
      <c r="N269" s="489"/>
      <c r="O269" s="489"/>
      <c r="P269" s="489"/>
    </row>
    <row r="270" spans="2:16" x14ac:dyDescent="0.2">
      <c r="C270" s="332"/>
      <c r="D270" s="332"/>
      <c r="E270" s="333"/>
      <c r="F270" s="333"/>
      <c r="G270" s="333"/>
      <c r="H270" s="333"/>
      <c r="I270" s="333"/>
      <c r="L270" s="300"/>
    </row>
    <row r="271" spans="2:16" x14ac:dyDescent="0.2">
      <c r="C271" s="332"/>
      <c r="D271" s="332"/>
      <c r="E271" s="333"/>
      <c r="F271" s="333"/>
      <c r="G271" s="333"/>
      <c r="H271" s="333"/>
      <c r="I271" s="333"/>
      <c r="L271" s="353"/>
    </row>
    <row r="272" spans="2:16" x14ac:dyDescent="0.2">
      <c r="C272" s="332"/>
      <c r="D272" s="332"/>
      <c r="E272" s="333"/>
      <c r="F272" s="333"/>
      <c r="G272" s="333"/>
      <c r="H272" s="333"/>
      <c r="I272" s="333"/>
      <c r="L272" s="353"/>
    </row>
    <row r="273" spans="2:12" x14ac:dyDescent="0.2">
      <c r="C273" s="332"/>
      <c r="D273" s="332"/>
      <c r="E273" s="504"/>
      <c r="F273" s="504"/>
      <c r="G273" s="504"/>
      <c r="H273" s="504"/>
      <c r="I273" s="504"/>
      <c r="L273" s="353"/>
    </row>
    <row r="274" spans="2:12" x14ac:dyDescent="0.2">
      <c r="B274" s="300"/>
      <c r="C274" s="332"/>
      <c r="D274" s="332"/>
      <c r="E274" s="462"/>
      <c r="F274" s="462"/>
      <c r="G274" s="462"/>
      <c r="H274" s="462"/>
      <c r="I274" s="462"/>
      <c r="L274" s="353"/>
    </row>
    <row r="275" spans="2:12" x14ac:dyDescent="0.2">
      <c r="C275" s="332"/>
      <c r="D275" s="332"/>
      <c r="E275" s="333"/>
      <c r="F275" s="333"/>
      <c r="G275" s="333"/>
      <c r="H275" s="333"/>
      <c r="I275" s="333"/>
    </row>
    <row r="276" spans="2:12" x14ac:dyDescent="0.2">
      <c r="C276" s="332"/>
      <c r="D276" s="332"/>
      <c r="E276" s="333"/>
      <c r="F276" s="333"/>
      <c r="G276" s="333"/>
      <c r="H276" s="333"/>
      <c r="I276" s="333"/>
    </row>
    <row r="277" spans="2:12" x14ac:dyDescent="0.2">
      <c r="C277" s="332"/>
      <c r="D277" s="332"/>
      <c r="E277" s="333"/>
      <c r="F277" s="333"/>
      <c r="G277" s="333"/>
      <c r="H277" s="333"/>
      <c r="I277" s="333"/>
    </row>
    <row r="278" spans="2:12" x14ac:dyDescent="0.2">
      <c r="C278" s="332"/>
      <c r="D278" s="332"/>
      <c r="E278" s="333"/>
      <c r="F278" s="333"/>
      <c r="G278" s="333"/>
      <c r="H278" s="333"/>
      <c r="I278" s="333"/>
    </row>
    <row r="279" spans="2:12" x14ac:dyDescent="0.2">
      <c r="C279" s="332"/>
      <c r="D279" s="332"/>
      <c r="E279" s="333"/>
      <c r="F279" s="333"/>
      <c r="G279" s="333"/>
      <c r="H279" s="333"/>
      <c r="I279" s="333"/>
    </row>
    <row r="280" spans="2:12" x14ac:dyDescent="0.2">
      <c r="B280" s="300"/>
      <c r="C280" s="332"/>
      <c r="D280" s="332"/>
      <c r="E280" s="462"/>
      <c r="F280" s="462"/>
      <c r="G280" s="462"/>
      <c r="H280" s="462"/>
      <c r="I280" s="462"/>
    </row>
    <row r="281" spans="2:12" x14ac:dyDescent="0.2">
      <c r="C281" s="332"/>
      <c r="D281" s="501"/>
      <c r="E281" s="501"/>
      <c r="F281" s="501"/>
      <c r="G281" s="501"/>
      <c r="H281" s="501"/>
      <c r="I281" s="501"/>
    </row>
    <row r="282" spans="2:12" x14ac:dyDescent="0.2">
      <c r="C282" s="332"/>
      <c r="D282" s="501"/>
      <c r="E282" s="501"/>
      <c r="F282" s="501"/>
      <c r="G282" s="501"/>
      <c r="H282" s="501"/>
      <c r="I282" s="501"/>
    </row>
    <row r="283" spans="2:12" x14ac:dyDescent="0.2">
      <c r="B283" s="320"/>
      <c r="C283" s="348"/>
      <c r="D283" s="348"/>
      <c r="E283" s="505"/>
      <c r="F283" s="505"/>
      <c r="G283" s="505"/>
      <c r="H283" s="505"/>
      <c r="I283" s="505"/>
    </row>
    <row r="284" spans="2:12" x14ac:dyDescent="0.2">
      <c r="B284" s="506"/>
      <c r="C284" s="320"/>
      <c r="D284" s="320"/>
      <c r="E284" s="507"/>
      <c r="F284" s="507"/>
      <c r="G284" s="507"/>
      <c r="H284" s="507"/>
      <c r="I284" s="507"/>
    </row>
  </sheetData>
  <mergeCells count="8">
    <mergeCell ref="B236:C236"/>
    <mergeCell ref="N236:P236"/>
    <mergeCell ref="B2:I2"/>
    <mergeCell ref="B3:I3"/>
    <mergeCell ref="B4:I4"/>
    <mergeCell ref="B196:I196"/>
    <mergeCell ref="B197:I197"/>
    <mergeCell ref="B198:I198"/>
  </mergeCells>
  <dataValidations disablePrompts="1" count="1">
    <dataValidation type="list" allowBlank="1" showInputMessage="1" showErrorMessage="1" sqref="K29:K32 K35:K38 K49:K51 K63:K68" xr:uid="{00000000-0002-0000-0F00-000000000000}">
      <formula1>$M$29:$M$30</formula1>
    </dataValidation>
  </dataValidations>
  <pageMargins left="0.70866141732283472" right="0.70866141732283472" top="0.74803149606299213" bottom="0.74803149606299213" header="0.31496062992125984" footer="0.31496062992125984"/>
  <pageSetup paperSize="5" fitToHeight="0" orientation="landscape" r:id="rId1"/>
  <rowBreaks count="3" manualBreakCount="3">
    <brk id="57" max="16383" man="1"/>
    <brk id="194" max="16383" man="1"/>
    <brk id="242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5" tint="0.39997558519241921"/>
  </sheetPr>
  <dimension ref="B2:XFD280"/>
  <sheetViews>
    <sheetView showGridLines="0" topLeftCell="A54" zoomScale="85" zoomScaleNormal="85" workbookViewId="0">
      <selection activeCell="G9" sqref="G9"/>
    </sheetView>
  </sheetViews>
  <sheetFormatPr baseColWidth="10" defaultColWidth="11.42578125" defaultRowHeight="12.75" outlineLevelRow="2" x14ac:dyDescent="0.2"/>
  <cols>
    <col min="1" max="1" width="3.5703125" style="745" customWidth="1"/>
    <col min="2" max="2" width="57.42578125" style="745" customWidth="1"/>
    <col min="3" max="8" width="13.42578125" style="745" customWidth="1"/>
    <col min="9" max="9" width="12.7109375" style="745" customWidth="1"/>
    <col min="10" max="10" width="14.42578125" style="745" bestFit="1" customWidth="1"/>
    <col min="11" max="16384" width="11.42578125" style="745"/>
  </cols>
  <sheetData>
    <row r="2" spans="2:8" s="747" customFormat="1" x14ac:dyDescent="0.2">
      <c r="B2" s="746" t="s">
        <v>417</v>
      </c>
    </row>
    <row r="3" spans="2:8" x14ac:dyDescent="0.2">
      <c r="B3" s="788" t="s">
        <v>215</v>
      </c>
      <c r="C3" s="789"/>
      <c r="D3" s="789"/>
      <c r="E3" s="789"/>
      <c r="F3" s="789"/>
      <c r="G3" s="789"/>
      <c r="H3" s="789"/>
    </row>
    <row r="5" spans="2:8" x14ac:dyDescent="0.2">
      <c r="B5" s="790" t="s">
        <v>418</v>
      </c>
      <c r="C5" s="746">
        <v>2024</v>
      </c>
      <c r="D5" s="746">
        <v>2025</v>
      </c>
      <c r="E5" s="746">
        <v>2026</v>
      </c>
      <c r="F5" s="746">
        <v>2027</v>
      </c>
      <c r="G5" s="746">
        <v>2028</v>
      </c>
      <c r="H5" s="746">
        <v>2029</v>
      </c>
    </row>
    <row r="6" spans="2:8" x14ac:dyDescent="0.2">
      <c r="B6" s="745" t="s">
        <v>419</v>
      </c>
      <c r="C6" s="791">
        <v>3.2314329354868353E-2</v>
      </c>
      <c r="D6" s="791">
        <v>3.2314329354868353E-2</v>
      </c>
      <c r="E6" s="791">
        <v>3.2314329354868353E-2</v>
      </c>
      <c r="F6" s="791">
        <v>3.2314329354868353E-2</v>
      </c>
      <c r="G6" s="791">
        <v>3.2314329354868353E-2</v>
      </c>
      <c r="H6" s="791">
        <v>3.2314329354868353E-2</v>
      </c>
    </row>
    <row r="7" spans="2:8" x14ac:dyDescent="0.2">
      <c r="B7" s="745" t="s">
        <v>420</v>
      </c>
      <c r="C7" s="792"/>
      <c r="D7" s="793">
        <v>1025998205.072194</v>
      </c>
      <c r="E7" s="793">
        <v>1025998205.072194</v>
      </c>
      <c r="F7" s="793">
        <v>1025998205.072194</v>
      </c>
      <c r="G7" s="793">
        <v>1025998205.072194</v>
      </c>
      <c r="H7" s="793">
        <v>1025998205.072194</v>
      </c>
    </row>
    <row r="8" spans="2:8" x14ac:dyDescent="0.2">
      <c r="B8" s="745" t="s">
        <v>421</v>
      </c>
      <c r="C8" s="792"/>
      <c r="D8" s="793"/>
      <c r="E8" s="793"/>
      <c r="F8" s="793"/>
      <c r="G8" s="793"/>
      <c r="H8" s="793"/>
    </row>
    <row r="9" spans="2:8" x14ac:dyDescent="0.2">
      <c r="B9" s="745" t="s">
        <v>422</v>
      </c>
      <c r="C9" s="794"/>
      <c r="D9" s="793">
        <v>-33154443.916206639</v>
      </c>
      <c r="E9" s="793">
        <v>-33154443.916206639</v>
      </c>
      <c r="F9" s="793">
        <v>-33154443.916206639</v>
      </c>
      <c r="G9" s="793">
        <v>-33154443.916206639</v>
      </c>
      <c r="H9" s="793">
        <v>-33154443.916206639</v>
      </c>
    </row>
    <row r="10" spans="2:8" x14ac:dyDescent="0.2">
      <c r="B10" s="745" t="s">
        <v>423</v>
      </c>
      <c r="C10" s="795">
        <v>1025998205.072194</v>
      </c>
      <c r="D10" s="793">
        <v>1025998205.072194</v>
      </c>
      <c r="E10" s="793">
        <v>1025998205.072194</v>
      </c>
      <c r="F10" s="793">
        <v>1025998205.072194</v>
      </c>
      <c r="G10" s="793">
        <v>1025998205.072194</v>
      </c>
      <c r="H10" s="793">
        <v>1025998205.072194</v>
      </c>
    </row>
    <row r="11" spans="2:8" x14ac:dyDescent="0.2">
      <c r="B11" s="745" t="s">
        <v>424</v>
      </c>
      <c r="C11" s="795">
        <v>545604823.71437812</v>
      </c>
      <c r="D11" s="793">
        <v>512450379.79817152</v>
      </c>
      <c r="E11" s="793">
        <v>479295935.88196486</v>
      </c>
      <c r="F11" s="793">
        <v>446141491.9657582</v>
      </c>
      <c r="G11" s="793">
        <v>412987048.04955161</v>
      </c>
      <c r="H11" s="793">
        <v>379832604.13334501</v>
      </c>
    </row>
    <row r="12" spans="2:8" x14ac:dyDescent="0.2">
      <c r="B12" s="745" t="s">
        <v>425</v>
      </c>
      <c r="C12" s="795">
        <v>-480393381.35781586</v>
      </c>
      <c r="D12" s="793">
        <v>-513547825.27402252</v>
      </c>
      <c r="E12" s="793">
        <v>-546702269.19022918</v>
      </c>
      <c r="F12" s="793">
        <v>-579856713.10643578</v>
      </c>
      <c r="G12" s="793">
        <v>-613011157.02264237</v>
      </c>
      <c r="H12" s="793">
        <v>-646165600.93884897</v>
      </c>
    </row>
    <row r="13" spans="2:8" x14ac:dyDescent="0.2">
      <c r="B13" s="745" t="s">
        <v>426</v>
      </c>
      <c r="C13" s="793">
        <v>545604824</v>
      </c>
      <c r="D13" s="793">
        <v>512450380</v>
      </c>
      <c r="E13" s="793">
        <v>479295936</v>
      </c>
      <c r="F13" s="793">
        <v>446141492</v>
      </c>
      <c r="G13" s="793">
        <v>412987049</v>
      </c>
      <c r="H13" s="793">
        <v>379832605</v>
      </c>
    </row>
    <row r="14" spans="2:8" x14ac:dyDescent="0.2">
      <c r="C14" s="793"/>
      <c r="D14" s="793"/>
      <c r="E14" s="793"/>
      <c r="F14" s="793"/>
      <c r="G14" s="793"/>
      <c r="H14" s="793"/>
    </row>
    <row r="15" spans="2:8" hidden="1" outlineLevel="1" x14ac:dyDescent="0.2">
      <c r="B15" s="790" t="s">
        <v>427</v>
      </c>
      <c r="C15" s="746">
        <v>2016</v>
      </c>
      <c r="D15" s="746">
        <v>2017</v>
      </c>
      <c r="E15" s="746">
        <v>2018</v>
      </c>
      <c r="F15" s="746">
        <v>2019</v>
      </c>
      <c r="G15" s="746">
        <v>2020</v>
      </c>
      <c r="H15" s="746">
        <v>2021</v>
      </c>
    </row>
    <row r="16" spans="2:8" hidden="1" outlineLevel="1" x14ac:dyDescent="0.2">
      <c r="B16" s="745" t="s">
        <v>419</v>
      </c>
      <c r="C16" s="796">
        <v>3.4838098558625408E-2</v>
      </c>
      <c r="D16" s="796">
        <v>3.4838098558625408E-2</v>
      </c>
      <c r="E16" s="796">
        <v>3.4838098558625408E-2</v>
      </c>
      <c r="F16" s="796">
        <v>3.4838098558625408E-2</v>
      </c>
      <c r="G16" s="796">
        <v>3.4838098558625408E-2</v>
      </c>
      <c r="H16" s="796">
        <v>3.4838098558625408E-2</v>
      </c>
    </row>
    <row r="17" spans="2:10" hidden="1" outlineLevel="1" x14ac:dyDescent="0.2">
      <c r="B17" s="745" t="s">
        <v>420</v>
      </c>
      <c r="C17" s="793"/>
      <c r="D17" s="793">
        <v>0</v>
      </c>
      <c r="E17" s="793">
        <v>0</v>
      </c>
      <c r="F17" s="793">
        <v>0</v>
      </c>
      <c r="G17" s="793">
        <v>0</v>
      </c>
      <c r="H17" s="793">
        <v>0</v>
      </c>
    </row>
    <row r="18" spans="2:10" hidden="1" outlineLevel="1" x14ac:dyDescent="0.2">
      <c r="B18" s="745" t="s">
        <v>421</v>
      </c>
      <c r="C18" s="793"/>
      <c r="D18" s="793"/>
      <c r="E18" s="793"/>
      <c r="F18" s="793"/>
      <c r="G18" s="793"/>
      <c r="H18" s="793"/>
    </row>
    <row r="19" spans="2:10" hidden="1" outlineLevel="1" x14ac:dyDescent="0.2">
      <c r="B19" s="745" t="s">
        <v>422</v>
      </c>
      <c r="C19" s="793"/>
      <c r="D19" s="793">
        <v>0</v>
      </c>
      <c r="E19" s="793">
        <v>0</v>
      </c>
      <c r="F19" s="793">
        <v>0</v>
      </c>
      <c r="G19" s="793">
        <v>0</v>
      </c>
      <c r="H19" s="793">
        <v>0</v>
      </c>
    </row>
    <row r="20" spans="2:10" hidden="1" outlineLevel="1" x14ac:dyDescent="0.2">
      <c r="B20" s="745" t="s">
        <v>423</v>
      </c>
      <c r="C20" s="795">
        <v>0</v>
      </c>
      <c r="D20" s="793">
        <v>0</v>
      </c>
      <c r="E20" s="793">
        <v>0</v>
      </c>
      <c r="F20" s="793">
        <v>0</v>
      </c>
      <c r="G20" s="793">
        <v>0</v>
      </c>
      <c r="H20" s="793">
        <v>0</v>
      </c>
    </row>
    <row r="21" spans="2:10" hidden="1" outlineLevel="1" x14ac:dyDescent="0.2">
      <c r="B21" s="745" t="s">
        <v>424</v>
      </c>
      <c r="C21" s="793">
        <v>0</v>
      </c>
      <c r="D21" s="793">
        <v>0</v>
      </c>
      <c r="E21" s="793">
        <v>0</v>
      </c>
      <c r="F21" s="793">
        <v>0</v>
      </c>
      <c r="G21" s="793">
        <v>0</v>
      </c>
      <c r="H21" s="793">
        <v>0</v>
      </c>
    </row>
    <row r="22" spans="2:10" hidden="1" outlineLevel="1" x14ac:dyDescent="0.2">
      <c r="B22" s="745" t="s">
        <v>425</v>
      </c>
      <c r="C22" s="793">
        <v>0</v>
      </c>
      <c r="D22" s="793">
        <v>0</v>
      </c>
      <c r="E22" s="793">
        <v>0</v>
      </c>
      <c r="F22" s="793">
        <v>0</v>
      </c>
      <c r="G22" s="793">
        <v>0</v>
      </c>
      <c r="H22" s="793">
        <v>0</v>
      </c>
    </row>
    <row r="23" spans="2:10" hidden="1" outlineLevel="1" x14ac:dyDescent="0.2">
      <c r="B23" s="745" t="s">
        <v>426</v>
      </c>
      <c r="C23" s="793"/>
      <c r="D23" s="793">
        <v>0</v>
      </c>
      <c r="E23" s="793">
        <v>0</v>
      </c>
      <c r="F23" s="793">
        <v>0</v>
      </c>
      <c r="G23" s="793">
        <v>0</v>
      </c>
      <c r="H23" s="793">
        <v>0</v>
      </c>
    </row>
    <row r="24" spans="2:10" hidden="1" outlineLevel="1" x14ac:dyDescent="0.2">
      <c r="C24" s="793"/>
      <c r="D24" s="793"/>
      <c r="E24" s="793"/>
      <c r="F24" s="793"/>
      <c r="G24" s="793"/>
      <c r="H24" s="793"/>
    </row>
    <row r="25" spans="2:10" hidden="1" outlineLevel="1" x14ac:dyDescent="0.2">
      <c r="B25" s="790" t="s">
        <v>428</v>
      </c>
      <c r="C25" s="746">
        <v>2016</v>
      </c>
      <c r="D25" s="746">
        <v>2017</v>
      </c>
      <c r="E25" s="746">
        <v>2018</v>
      </c>
      <c r="F25" s="746">
        <v>2019</v>
      </c>
      <c r="G25" s="746">
        <v>2020</v>
      </c>
      <c r="H25" s="746">
        <v>2021</v>
      </c>
    </row>
    <row r="26" spans="2:10" hidden="1" outlineLevel="1" x14ac:dyDescent="0.2">
      <c r="B26" s="797" t="s">
        <v>429</v>
      </c>
      <c r="C26" s="793"/>
      <c r="D26" s="795">
        <v>345480168</v>
      </c>
      <c r="E26" s="795">
        <v>0</v>
      </c>
      <c r="F26" s="798">
        <v>0</v>
      </c>
      <c r="G26" s="798">
        <v>0</v>
      </c>
      <c r="H26" s="798">
        <v>0</v>
      </c>
      <c r="J26" s="793"/>
    </row>
    <row r="27" spans="2:10" hidden="1" outlineLevel="1" x14ac:dyDescent="0.2">
      <c r="B27" s="745" t="s">
        <v>430</v>
      </c>
      <c r="C27" s="793"/>
      <c r="D27" s="795">
        <v>173114761.68767121</v>
      </c>
      <c r="E27" s="795">
        <v>0</v>
      </c>
      <c r="F27" s="795">
        <v>0</v>
      </c>
      <c r="G27" s="795">
        <v>0</v>
      </c>
      <c r="H27" s="795">
        <v>0</v>
      </c>
      <c r="J27" s="793"/>
    </row>
    <row r="28" spans="2:10" hidden="1" outlineLevel="1" x14ac:dyDescent="0.2">
      <c r="B28" s="797" t="s">
        <v>431</v>
      </c>
      <c r="C28" s="793"/>
      <c r="D28" s="796">
        <v>3.4838098558625408E-2</v>
      </c>
      <c r="E28" s="796">
        <v>3.4838098558625408E-2</v>
      </c>
      <c r="F28" s="796">
        <v>3.4838098558625408E-2</v>
      </c>
      <c r="G28" s="796">
        <v>3.4838098558625408E-2</v>
      </c>
      <c r="H28" s="796">
        <v>3.4838098558625408E-2</v>
      </c>
      <c r="J28" s="793"/>
    </row>
    <row r="29" spans="2:10" hidden="1" outlineLevel="1" x14ac:dyDescent="0.2">
      <c r="B29" s="797" t="s">
        <v>421</v>
      </c>
      <c r="C29" s="793"/>
      <c r="D29" s="793">
        <v>0</v>
      </c>
      <c r="E29" s="793">
        <v>339449178.87037194</v>
      </c>
      <c r="F29" s="793">
        <v>327413306.72753745</v>
      </c>
      <c r="G29" s="793">
        <v>315377434.58470297</v>
      </c>
      <c r="H29" s="793">
        <v>303341562.44186848</v>
      </c>
    </row>
    <row r="30" spans="2:10" hidden="1" outlineLevel="1" x14ac:dyDescent="0.2">
      <c r="B30" s="797" t="s">
        <v>422</v>
      </c>
      <c r="C30" s="793"/>
      <c r="D30" s="793">
        <v>-6030989.1296280399</v>
      </c>
      <c r="E30" s="793">
        <v>-12035872.142834464</v>
      </c>
      <c r="F30" s="793">
        <v>-12035872.142834464</v>
      </c>
      <c r="G30" s="793">
        <v>-12035872.142834464</v>
      </c>
      <c r="H30" s="793">
        <v>-12035872.142834464</v>
      </c>
    </row>
    <row r="31" spans="2:10" hidden="1" outlineLevel="1" x14ac:dyDescent="0.2">
      <c r="B31" s="797" t="s">
        <v>424</v>
      </c>
      <c r="C31" s="793"/>
      <c r="D31" s="793">
        <v>339449178.87037194</v>
      </c>
      <c r="E31" s="793">
        <v>327413306.72753745</v>
      </c>
      <c r="F31" s="793">
        <v>315377434.58470297</v>
      </c>
      <c r="G31" s="793">
        <v>303341562.44186848</v>
      </c>
      <c r="H31" s="793">
        <v>291305690.299034</v>
      </c>
    </row>
    <row r="32" spans="2:10" hidden="1" outlineLevel="1" x14ac:dyDescent="0.2">
      <c r="B32" s="797" t="s">
        <v>423</v>
      </c>
      <c r="C32" s="793"/>
      <c r="D32" s="793">
        <v>345480168</v>
      </c>
      <c r="E32" s="793">
        <v>345480168</v>
      </c>
      <c r="F32" s="793">
        <v>345480168</v>
      </c>
      <c r="G32" s="793">
        <v>345480168</v>
      </c>
      <c r="H32" s="793">
        <v>345480168</v>
      </c>
    </row>
    <row r="33" spans="2:8" hidden="1" outlineLevel="1" x14ac:dyDescent="0.2">
      <c r="C33" s="793"/>
      <c r="D33" s="799"/>
      <c r="E33" s="793"/>
      <c r="F33" s="793"/>
      <c r="G33" s="793"/>
      <c r="H33" s="793"/>
    </row>
    <row r="34" spans="2:8" collapsed="1" x14ac:dyDescent="0.2">
      <c r="B34" s="790" t="s">
        <v>863</v>
      </c>
      <c r="C34" s="746">
        <v>2024</v>
      </c>
      <c r="D34" s="746">
        <v>2025</v>
      </c>
      <c r="E34" s="746">
        <v>2026</v>
      </c>
      <c r="F34" s="746">
        <v>2027</v>
      </c>
      <c r="G34" s="746">
        <v>2028</v>
      </c>
      <c r="H34" s="746">
        <v>2029</v>
      </c>
    </row>
    <row r="35" spans="2:8" x14ac:dyDescent="0.2">
      <c r="B35" s="800" t="s">
        <v>419</v>
      </c>
      <c r="C35" s="791">
        <v>6.4982600341369698E-2</v>
      </c>
      <c r="D35" s="791">
        <v>6.4982600341369698E-2</v>
      </c>
      <c r="E35" s="791">
        <v>6.4982600341369698E-2</v>
      </c>
      <c r="F35" s="791">
        <v>6.4982600341369698E-2</v>
      </c>
      <c r="G35" s="791">
        <v>6.4982600341369698E-2</v>
      </c>
      <c r="H35" s="791">
        <v>6.4982600341369698E-2</v>
      </c>
    </row>
    <row r="36" spans="2:8" x14ac:dyDescent="0.2">
      <c r="B36" s="800" t="s">
        <v>433</v>
      </c>
      <c r="C36" s="801">
        <v>0.02</v>
      </c>
      <c r="D36" s="801">
        <v>0.02</v>
      </c>
      <c r="E36" s="801">
        <v>0.02</v>
      </c>
      <c r="F36" s="801">
        <v>0.02</v>
      </c>
      <c r="G36" s="801">
        <v>0.02</v>
      </c>
      <c r="H36" s="801">
        <v>0.02</v>
      </c>
    </row>
    <row r="37" spans="2:8" x14ac:dyDescent="0.2">
      <c r="B37" s="800" t="s">
        <v>420</v>
      </c>
      <c r="C37" s="792"/>
      <c r="D37" s="793">
        <v>45937778.649999999</v>
      </c>
      <c r="E37" s="793">
        <v>45937778.649999999</v>
      </c>
      <c r="F37" s="793">
        <v>45937778.649999999</v>
      </c>
      <c r="G37" s="793">
        <v>45937778.649999999</v>
      </c>
      <c r="H37" s="793">
        <v>45937778.649999999</v>
      </c>
    </row>
    <row r="38" spans="2:8" x14ac:dyDescent="0.2">
      <c r="B38" s="800" t="s">
        <v>421</v>
      </c>
      <c r="C38" s="792"/>
      <c r="D38" s="793">
        <v>3132141.7251670128</v>
      </c>
      <c r="E38" s="793">
        <v>146985.41458375752</v>
      </c>
      <c r="F38" s="793">
        <v>0</v>
      </c>
      <c r="G38" s="793">
        <v>0</v>
      </c>
      <c r="H38" s="793">
        <v>0</v>
      </c>
    </row>
    <row r="39" spans="2:8" x14ac:dyDescent="0.2">
      <c r="B39" s="800" t="s">
        <v>422</v>
      </c>
      <c r="C39" s="792"/>
      <c r="D39" s="793">
        <v>-2985156.3105832557</v>
      </c>
      <c r="E39" s="793">
        <v>-146985.41458375752</v>
      </c>
      <c r="F39" s="793">
        <v>0</v>
      </c>
      <c r="G39" s="793">
        <v>0</v>
      </c>
      <c r="H39" s="793">
        <v>0</v>
      </c>
    </row>
    <row r="40" spans="2:8" x14ac:dyDescent="0.2">
      <c r="B40" s="800" t="s">
        <v>434</v>
      </c>
      <c r="C40" s="792"/>
      <c r="D40" s="793"/>
      <c r="E40" s="793"/>
      <c r="F40" s="793"/>
      <c r="G40" s="793"/>
      <c r="H40" s="793"/>
    </row>
    <row r="41" spans="2:8" x14ac:dyDescent="0.2">
      <c r="B41" s="800" t="s">
        <v>423</v>
      </c>
      <c r="C41" s="793">
        <v>45937778.649999999</v>
      </c>
      <c r="D41" s="793">
        <v>45937778.649999999</v>
      </c>
      <c r="E41" s="793">
        <v>45937778.649999999</v>
      </c>
      <c r="F41" s="793">
        <v>45937778.649999999</v>
      </c>
      <c r="G41" s="793">
        <v>45937778.649999999</v>
      </c>
      <c r="H41" s="793">
        <v>45937778.649999999</v>
      </c>
    </row>
    <row r="42" spans="2:8" x14ac:dyDescent="0.2">
      <c r="B42" s="800" t="s">
        <v>425</v>
      </c>
      <c r="C42" s="793">
        <v>-42805636.924832985</v>
      </c>
      <c r="D42" s="793">
        <v>-45790793.235416241</v>
      </c>
      <c r="E42" s="793">
        <v>-45937778.649999999</v>
      </c>
      <c r="F42" s="793">
        <v>-45937778.649999999</v>
      </c>
      <c r="G42" s="793">
        <v>-45937778.649999999</v>
      </c>
      <c r="H42" s="793">
        <v>-45937778.649999999</v>
      </c>
    </row>
    <row r="43" spans="2:8" x14ac:dyDescent="0.2">
      <c r="B43" s="800" t="s">
        <v>424</v>
      </c>
      <c r="C43" s="793">
        <v>3132141.7251670128</v>
      </c>
      <c r="D43" s="793">
        <v>146985.41458375752</v>
      </c>
      <c r="E43" s="793">
        <v>0</v>
      </c>
      <c r="F43" s="793">
        <v>0</v>
      </c>
      <c r="G43" s="793">
        <v>0</v>
      </c>
      <c r="H43" s="793">
        <v>0</v>
      </c>
    </row>
    <row r="44" spans="2:8" x14ac:dyDescent="0.2">
      <c r="B44" s="800"/>
      <c r="C44" s="793"/>
      <c r="D44" s="793"/>
      <c r="E44" s="793"/>
      <c r="F44" s="793"/>
      <c r="G44" s="793"/>
      <c r="H44" s="793"/>
    </row>
    <row r="45" spans="2:8" x14ac:dyDescent="0.2">
      <c r="B45" s="790" t="s">
        <v>435</v>
      </c>
      <c r="C45" s="746">
        <v>2016</v>
      </c>
      <c r="D45" s="746">
        <v>2017</v>
      </c>
      <c r="E45" s="746">
        <v>2018</v>
      </c>
      <c r="F45" s="746">
        <v>2019</v>
      </c>
      <c r="G45" s="746">
        <v>2020</v>
      </c>
      <c r="H45" s="746">
        <v>2021</v>
      </c>
    </row>
    <row r="46" spans="2:8" x14ac:dyDescent="0.2">
      <c r="B46" s="800" t="s">
        <v>419</v>
      </c>
      <c r="C46" s="802">
        <v>3.2314329354868353E-2</v>
      </c>
      <c r="D46" s="802">
        <v>3.2314329354868353E-2</v>
      </c>
      <c r="E46" s="802">
        <v>3.2314329354868353E-2</v>
      </c>
      <c r="F46" s="802">
        <v>3.2314329354868353E-2</v>
      </c>
      <c r="G46" s="802">
        <v>3.2314329354868353E-2</v>
      </c>
      <c r="H46" s="802">
        <v>3.2314329354868353E-2</v>
      </c>
    </row>
    <row r="47" spans="2:8" x14ac:dyDescent="0.2">
      <c r="B47" s="800" t="s">
        <v>433</v>
      </c>
      <c r="C47" s="801">
        <v>0.02</v>
      </c>
      <c r="D47" s="801">
        <v>0.02</v>
      </c>
      <c r="E47" s="801">
        <v>0.02</v>
      </c>
      <c r="F47" s="801">
        <v>0.02</v>
      </c>
      <c r="G47" s="801">
        <v>0.02</v>
      </c>
      <c r="H47" s="801">
        <v>0.02</v>
      </c>
    </row>
    <row r="48" spans="2:8" x14ac:dyDescent="0.2">
      <c r="B48" s="800" t="s">
        <v>420</v>
      </c>
      <c r="C48" s="792"/>
      <c r="D48" s="793">
        <v>0</v>
      </c>
      <c r="E48" s="793">
        <v>0</v>
      </c>
      <c r="F48" s="793">
        <v>0</v>
      </c>
      <c r="G48" s="793">
        <v>0</v>
      </c>
      <c r="H48" s="793">
        <v>0</v>
      </c>
    </row>
    <row r="49" spans="2:8" x14ac:dyDescent="0.2">
      <c r="B49" s="800" t="s">
        <v>421</v>
      </c>
      <c r="C49" s="792"/>
      <c r="D49" s="793">
        <v>0</v>
      </c>
      <c r="E49" s="793">
        <v>0</v>
      </c>
      <c r="F49" s="793">
        <v>0</v>
      </c>
      <c r="G49" s="793">
        <v>0</v>
      </c>
      <c r="H49" s="793">
        <v>0</v>
      </c>
    </row>
    <row r="50" spans="2:8" x14ac:dyDescent="0.2">
      <c r="B50" s="800" t="s">
        <v>422</v>
      </c>
      <c r="C50" s="792"/>
      <c r="D50" s="793">
        <v>0</v>
      </c>
      <c r="E50" s="793">
        <v>0</v>
      </c>
      <c r="F50" s="793">
        <v>0</v>
      </c>
      <c r="G50" s="793">
        <v>0</v>
      </c>
      <c r="H50" s="793">
        <v>0</v>
      </c>
    </row>
    <row r="51" spans="2:8" x14ac:dyDescent="0.2">
      <c r="B51" s="800" t="s">
        <v>434</v>
      </c>
      <c r="C51" s="792"/>
      <c r="D51" s="793"/>
      <c r="E51" s="793"/>
      <c r="F51" s="793"/>
      <c r="G51" s="793"/>
      <c r="H51" s="793"/>
    </row>
    <row r="52" spans="2:8" x14ac:dyDescent="0.2">
      <c r="B52" s="800" t="s">
        <v>423</v>
      </c>
      <c r="C52" s="793"/>
      <c r="D52" s="793">
        <v>0</v>
      </c>
      <c r="E52" s="793">
        <v>0</v>
      </c>
      <c r="F52" s="793">
        <v>0</v>
      </c>
      <c r="G52" s="793">
        <v>0</v>
      </c>
      <c r="H52" s="793">
        <v>0</v>
      </c>
    </row>
    <row r="53" spans="2:8" x14ac:dyDescent="0.2">
      <c r="B53" s="800" t="s">
        <v>425</v>
      </c>
      <c r="C53" s="793"/>
      <c r="D53" s="793">
        <v>0</v>
      </c>
      <c r="E53" s="793">
        <v>0</v>
      </c>
      <c r="F53" s="793">
        <v>0</v>
      </c>
      <c r="G53" s="793">
        <v>0</v>
      </c>
      <c r="H53" s="793">
        <v>0</v>
      </c>
    </row>
    <row r="54" spans="2:8" x14ac:dyDescent="0.2">
      <c r="B54" s="800" t="s">
        <v>424</v>
      </c>
      <c r="C54" s="793"/>
      <c r="D54" s="793">
        <v>0</v>
      </c>
      <c r="E54" s="793">
        <v>0</v>
      </c>
      <c r="F54" s="793">
        <v>0</v>
      </c>
      <c r="G54" s="793">
        <v>0</v>
      </c>
      <c r="H54" s="793">
        <v>0</v>
      </c>
    </row>
    <row r="55" spans="2:8" x14ac:dyDescent="0.2">
      <c r="B55" s="803" t="s">
        <v>436</v>
      </c>
      <c r="C55" s="793"/>
      <c r="D55" s="793"/>
      <c r="E55" s="793"/>
      <c r="F55" s="793"/>
      <c r="G55" s="793"/>
      <c r="H55" s="793"/>
    </row>
    <row r="56" spans="2:8" x14ac:dyDescent="0.2">
      <c r="B56" s="800"/>
      <c r="C56" s="793"/>
      <c r="D56" s="793"/>
      <c r="E56" s="793"/>
      <c r="F56" s="793"/>
      <c r="G56" s="793"/>
      <c r="H56" s="793"/>
    </row>
    <row r="57" spans="2:8" x14ac:dyDescent="0.2">
      <c r="B57" s="790" t="s">
        <v>437</v>
      </c>
      <c r="C57" s="746">
        <v>2024</v>
      </c>
      <c r="D57" s="746">
        <v>2025</v>
      </c>
      <c r="E57" s="746">
        <v>2026</v>
      </c>
      <c r="F57" s="746">
        <v>2027</v>
      </c>
      <c r="G57" s="746">
        <v>2028</v>
      </c>
      <c r="H57" s="746">
        <v>2029</v>
      </c>
    </row>
    <row r="58" spans="2:8" x14ac:dyDescent="0.2">
      <c r="B58" s="745" t="s">
        <v>424</v>
      </c>
      <c r="C58" s="793">
        <v>548736965.43954515</v>
      </c>
      <c r="D58" s="793">
        <v>512597365.21275526</v>
      </c>
      <c r="E58" s="793">
        <v>479295935.88196486</v>
      </c>
      <c r="F58" s="793">
        <v>446141491.9657582</v>
      </c>
      <c r="G58" s="793">
        <v>412987048.04955161</v>
      </c>
      <c r="H58" s="793">
        <v>379832604.13334501</v>
      </c>
    </row>
    <row r="59" spans="2:8" x14ac:dyDescent="0.2">
      <c r="B59" s="745" t="s">
        <v>422</v>
      </c>
      <c r="C59" s="793">
        <v>0</v>
      </c>
      <c r="D59" s="793">
        <v>-36139600.226789892</v>
      </c>
      <c r="E59" s="793">
        <v>-33301429.330790397</v>
      </c>
      <c r="F59" s="793">
        <v>-33154443.916206639</v>
      </c>
      <c r="G59" s="793">
        <v>-33154443.916206639</v>
      </c>
      <c r="H59" s="793">
        <v>-33154443.916206639</v>
      </c>
    </row>
    <row r="60" spans="2:8" x14ac:dyDescent="0.2">
      <c r="B60" s="745" t="s">
        <v>423</v>
      </c>
      <c r="C60" s="793">
        <v>1071935983.722194</v>
      </c>
      <c r="D60" s="793">
        <v>1071935983.722194</v>
      </c>
      <c r="E60" s="793">
        <v>1071935983.722194</v>
      </c>
      <c r="F60" s="793">
        <v>1071935983.722194</v>
      </c>
      <c r="G60" s="793">
        <v>1071935983.722194</v>
      </c>
      <c r="H60" s="793">
        <v>1071935983.722194</v>
      </c>
    </row>
    <row r="61" spans="2:8" x14ac:dyDescent="0.2">
      <c r="B61" s="790" t="s">
        <v>438</v>
      </c>
      <c r="C61" s="746">
        <v>2024</v>
      </c>
      <c r="D61" s="746">
        <v>2025</v>
      </c>
      <c r="E61" s="746">
        <v>2026</v>
      </c>
      <c r="F61" s="746">
        <v>2027</v>
      </c>
      <c r="G61" s="746">
        <v>2028</v>
      </c>
      <c r="H61" s="746">
        <v>2029</v>
      </c>
    </row>
    <row r="62" spans="2:8" x14ac:dyDescent="0.2">
      <c r="B62" s="745" t="s">
        <v>424</v>
      </c>
      <c r="C62" s="793">
        <v>0</v>
      </c>
      <c r="D62" s="793">
        <v>0</v>
      </c>
      <c r="E62" s="793">
        <v>0</v>
      </c>
      <c r="F62" s="793">
        <v>0</v>
      </c>
      <c r="G62" s="793">
        <v>0</v>
      </c>
      <c r="H62" s="793">
        <v>0</v>
      </c>
    </row>
    <row r="63" spans="2:8" x14ac:dyDescent="0.2">
      <c r="B63" s="745" t="s">
        <v>422</v>
      </c>
      <c r="C63" s="793">
        <v>0</v>
      </c>
      <c r="D63" s="793">
        <v>0</v>
      </c>
      <c r="E63" s="793">
        <v>0</v>
      </c>
      <c r="F63" s="793">
        <v>0</v>
      </c>
      <c r="G63" s="793">
        <v>0</v>
      </c>
      <c r="H63" s="793">
        <v>0</v>
      </c>
    </row>
    <row r="64" spans="2:8" x14ac:dyDescent="0.2">
      <c r="B64" s="745" t="s">
        <v>423</v>
      </c>
      <c r="C64" s="793">
        <v>0</v>
      </c>
      <c r="D64" s="793">
        <v>0</v>
      </c>
      <c r="E64" s="793">
        <v>0</v>
      </c>
      <c r="F64" s="793">
        <v>0</v>
      </c>
      <c r="G64" s="793">
        <v>0</v>
      </c>
      <c r="H64" s="793">
        <v>0</v>
      </c>
    </row>
    <row r="65" spans="2:8" x14ac:dyDescent="0.2">
      <c r="B65" s="745" t="s">
        <v>430</v>
      </c>
      <c r="C65" s="793">
        <v>0</v>
      </c>
      <c r="D65" s="793">
        <v>0</v>
      </c>
      <c r="E65" s="793">
        <v>0</v>
      </c>
      <c r="F65" s="793">
        <v>0</v>
      </c>
      <c r="G65" s="793">
        <v>0</v>
      </c>
      <c r="H65" s="793">
        <v>0</v>
      </c>
    </row>
    <row r="66" spans="2:8" x14ac:dyDescent="0.2">
      <c r="C66" s="793"/>
      <c r="D66" s="793"/>
      <c r="E66" s="793"/>
      <c r="F66" s="793"/>
      <c r="G66" s="793"/>
      <c r="H66" s="793"/>
    </row>
    <row r="67" spans="2:8" s="747" customFormat="1" hidden="1" outlineLevel="1" x14ac:dyDescent="0.2">
      <c r="B67" s="746" t="s">
        <v>439</v>
      </c>
    </row>
    <row r="68" spans="2:8" hidden="1" outlineLevel="1" x14ac:dyDescent="0.2">
      <c r="C68" s="793"/>
      <c r="D68" s="793"/>
      <c r="E68" s="793"/>
      <c r="F68" s="793"/>
      <c r="G68" s="793"/>
      <c r="H68" s="793"/>
    </row>
    <row r="69" spans="2:8" hidden="1" outlineLevel="1" x14ac:dyDescent="0.2">
      <c r="B69" s="804" t="s">
        <v>440</v>
      </c>
      <c r="C69" s="805">
        <v>3.5000000000000003E-2</v>
      </c>
    </row>
    <row r="70" spans="2:8" hidden="1" outlineLevel="1" x14ac:dyDescent="0.2">
      <c r="B70" s="806" t="s">
        <v>441</v>
      </c>
    </row>
    <row r="71" spans="2:8" hidden="1" outlineLevel="1" x14ac:dyDescent="0.2">
      <c r="B71" s="807" t="s">
        <v>442</v>
      </c>
      <c r="C71" s="808">
        <v>0.7</v>
      </c>
    </row>
    <row r="72" spans="2:8" hidden="1" outlineLevel="1" x14ac:dyDescent="0.2">
      <c r="B72" s="807" t="s">
        <v>443</v>
      </c>
      <c r="C72" s="809">
        <v>0.30000000000000004</v>
      </c>
    </row>
    <row r="73" spans="2:8" hidden="1" outlineLevel="1" x14ac:dyDescent="0.2"/>
    <row r="74" spans="2:8" hidden="1" outlineLevel="1" x14ac:dyDescent="0.2">
      <c r="B74" s="810"/>
      <c r="C74" s="811">
        <v>2016</v>
      </c>
      <c r="D74" s="811">
        <v>2017</v>
      </c>
      <c r="E74" s="811">
        <v>2018</v>
      </c>
      <c r="F74" s="811">
        <v>2019</v>
      </c>
      <c r="G74" s="811">
        <v>2020</v>
      </c>
      <c r="H74" s="811">
        <v>2021</v>
      </c>
    </row>
    <row r="75" spans="2:8" hidden="1" outlineLevel="1" x14ac:dyDescent="0.2">
      <c r="B75" s="812" t="s">
        <v>444</v>
      </c>
      <c r="C75" s="792"/>
      <c r="D75" s="795">
        <v>30733000</v>
      </c>
      <c r="E75" s="795">
        <v>28577000</v>
      </c>
      <c r="F75" s="795">
        <v>328118327.46239996</v>
      </c>
      <c r="G75" s="795">
        <v>56905249.422632799</v>
      </c>
      <c r="H75" s="795">
        <v>0</v>
      </c>
    </row>
    <row r="76" spans="2:8" hidden="1" outlineLevel="1" x14ac:dyDescent="0.2">
      <c r="B76" s="812" t="s">
        <v>445</v>
      </c>
      <c r="C76" s="792"/>
      <c r="D76" s="795">
        <v>0</v>
      </c>
      <c r="E76" s="795">
        <v>0</v>
      </c>
      <c r="F76" s="795">
        <v>0</v>
      </c>
      <c r="G76" s="795">
        <v>0</v>
      </c>
      <c r="H76" s="795">
        <v>0</v>
      </c>
    </row>
    <row r="77" spans="2:8" hidden="1" outlineLevel="1" x14ac:dyDescent="0.2">
      <c r="B77" s="812" t="s">
        <v>446</v>
      </c>
      <c r="C77" s="792"/>
      <c r="D77" s="795">
        <v>0</v>
      </c>
      <c r="E77" s="795">
        <v>4069000</v>
      </c>
      <c r="F77" s="795">
        <v>0</v>
      </c>
      <c r="G77" s="795">
        <v>0</v>
      </c>
      <c r="H77" s="795">
        <v>0</v>
      </c>
    </row>
    <row r="78" spans="2:8" hidden="1" outlineLevel="1" x14ac:dyDescent="0.2">
      <c r="B78" s="812" t="s">
        <v>431</v>
      </c>
      <c r="C78" s="792"/>
      <c r="D78" s="813">
        <v>3.5000000000000003E-2</v>
      </c>
      <c r="E78" s="813">
        <v>3.5000000000000003E-2</v>
      </c>
      <c r="F78" s="813">
        <v>3.5000000000000003E-2</v>
      </c>
      <c r="G78" s="813">
        <v>3.5000000000000003E-2</v>
      </c>
      <c r="H78" s="813">
        <v>3.5000000000000003E-2</v>
      </c>
    </row>
    <row r="79" spans="2:8" hidden="1" outlineLevel="1" x14ac:dyDescent="0.2">
      <c r="B79" s="812" t="s">
        <v>421</v>
      </c>
      <c r="C79" s="792"/>
      <c r="D79" s="793">
        <v>0</v>
      </c>
      <c r="E79" s="793">
        <v>30733000</v>
      </c>
      <c r="F79" s="793">
        <v>58234345</v>
      </c>
      <c r="G79" s="793">
        <v>384276822.46239996</v>
      </c>
      <c r="H79" s="793">
        <v>427622080.42384875</v>
      </c>
    </row>
    <row r="80" spans="2:8" hidden="1" outlineLevel="1" x14ac:dyDescent="0.2">
      <c r="B80" s="812" t="s">
        <v>422</v>
      </c>
      <c r="C80" s="792"/>
      <c r="D80" s="793">
        <v>0</v>
      </c>
      <c r="E80" s="793">
        <v>-1075655</v>
      </c>
      <c r="F80" s="793">
        <v>-2075850.0000000002</v>
      </c>
      <c r="G80" s="793">
        <v>-13559991.461184001</v>
      </c>
      <c r="H80" s="793">
        <v>-15551675.190976148</v>
      </c>
    </row>
    <row r="81" spans="2:9" hidden="1" outlineLevel="1" x14ac:dyDescent="0.2">
      <c r="B81" s="812" t="s">
        <v>424</v>
      </c>
      <c r="C81" s="793">
        <v>0</v>
      </c>
      <c r="D81" s="793">
        <v>30733000</v>
      </c>
      <c r="E81" s="793">
        <v>58234345</v>
      </c>
      <c r="F81" s="793">
        <v>384276822.46239996</v>
      </c>
      <c r="G81" s="793">
        <v>427622080.42384875</v>
      </c>
      <c r="H81" s="793">
        <v>412070405.23287261</v>
      </c>
    </row>
    <row r="82" spans="2:9" hidden="1" outlineLevel="1" x14ac:dyDescent="0.2">
      <c r="B82" s="812" t="s">
        <v>423</v>
      </c>
      <c r="C82" s="793">
        <v>0</v>
      </c>
      <c r="D82" s="793">
        <v>30733000</v>
      </c>
      <c r="E82" s="793">
        <v>59310000</v>
      </c>
      <c r="F82" s="793">
        <v>387428327.46239996</v>
      </c>
      <c r="G82" s="793">
        <v>444333576.88503277</v>
      </c>
      <c r="H82" s="793">
        <v>444333576.88503277</v>
      </c>
    </row>
    <row r="83" spans="2:9" hidden="1" outlineLevel="1" x14ac:dyDescent="0.2">
      <c r="B83" s="812" t="s">
        <v>425</v>
      </c>
      <c r="C83" s="793">
        <v>0</v>
      </c>
      <c r="D83" s="793">
        <v>0</v>
      </c>
      <c r="E83" s="793">
        <v>-1075655</v>
      </c>
      <c r="F83" s="793">
        <v>-3151505</v>
      </c>
      <c r="G83" s="793">
        <v>-16711496.461184001</v>
      </c>
      <c r="H83" s="793">
        <v>-32263171.652160149</v>
      </c>
    </row>
    <row r="84" spans="2:9" hidden="1" outlineLevel="1" x14ac:dyDescent="0.2">
      <c r="B84" s="812" t="s">
        <v>426</v>
      </c>
      <c r="C84" s="793">
        <v>0</v>
      </c>
      <c r="D84" s="793">
        <v>30733000</v>
      </c>
      <c r="E84" s="793">
        <v>58234345</v>
      </c>
      <c r="F84" s="793">
        <v>384276822.46239996</v>
      </c>
      <c r="G84" s="793">
        <v>427622080.42384875</v>
      </c>
      <c r="H84" s="793">
        <v>412070405.23287261</v>
      </c>
    </row>
    <row r="85" spans="2:9" hidden="1" outlineLevel="1" x14ac:dyDescent="0.2"/>
    <row r="86" spans="2:9" s="747" customFormat="1" hidden="1" outlineLevel="1" x14ac:dyDescent="0.2">
      <c r="B86" s="746" t="s">
        <v>447</v>
      </c>
    </row>
    <row r="87" spans="2:9" hidden="1" outlineLevel="1" x14ac:dyDescent="0.2">
      <c r="B87" s="789"/>
      <c r="C87" s="789"/>
      <c r="D87" s="789"/>
      <c r="E87" s="789"/>
      <c r="F87" s="789"/>
      <c r="G87" s="789"/>
      <c r="H87" s="789"/>
    </row>
    <row r="88" spans="2:9" hidden="1" outlineLevel="1" x14ac:dyDescent="0.2">
      <c r="B88" s="814" t="s">
        <v>448</v>
      </c>
      <c r="C88" s="811">
        <v>2016</v>
      </c>
      <c r="D88" s="811">
        <v>2017</v>
      </c>
      <c r="E88" s="811">
        <v>2018</v>
      </c>
      <c r="F88" s="811">
        <v>2019</v>
      </c>
      <c r="G88" s="811">
        <v>2020</v>
      </c>
      <c r="H88" s="811">
        <v>2021</v>
      </c>
    </row>
    <row r="89" spans="2:9" hidden="1" outlineLevel="2" x14ac:dyDescent="0.2">
      <c r="B89" s="815" t="s">
        <v>449</v>
      </c>
      <c r="C89" s="816"/>
      <c r="D89" s="816">
        <v>30733000</v>
      </c>
      <c r="E89" s="816">
        <v>28577000</v>
      </c>
      <c r="F89" s="816">
        <v>253909327.46239999</v>
      </c>
      <c r="G89" s="816">
        <v>56157000</v>
      </c>
      <c r="H89" s="816">
        <v>0</v>
      </c>
    </row>
    <row r="90" spans="2:9" hidden="1" outlineLevel="2" x14ac:dyDescent="0.2">
      <c r="B90" s="815" t="s">
        <v>450</v>
      </c>
      <c r="C90" s="816"/>
      <c r="D90" s="816">
        <v>0</v>
      </c>
      <c r="E90" s="816">
        <v>0</v>
      </c>
      <c r="F90" s="816">
        <v>0</v>
      </c>
      <c r="G90" s="816">
        <v>0</v>
      </c>
      <c r="H90" s="816">
        <v>6302000</v>
      </c>
    </row>
    <row r="91" spans="2:9" hidden="1" outlineLevel="2" x14ac:dyDescent="0.2">
      <c r="B91" s="815" t="s">
        <v>451</v>
      </c>
      <c r="C91" s="816"/>
      <c r="D91" s="816">
        <v>3482000</v>
      </c>
      <c r="E91" s="816">
        <v>4332000</v>
      </c>
      <c r="F91" s="816">
        <v>18205493.917274941</v>
      </c>
      <c r="G91" s="816">
        <v>6750000</v>
      </c>
      <c r="H91" s="816">
        <v>9596000</v>
      </c>
    </row>
    <row r="92" spans="2:9" hidden="1" outlineLevel="1" x14ac:dyDescent="0.2">
      <c r="B92" s="812" t="s">
        <v>452</v>
      </c>
      <c r="C92" s="793"/>
      <c r="D92" s="793">
        <v>34215000</v>
      </c>
      <c r="E92" s="793">
        <v>32909000</v>
      </c>
      <c r="F92" s="793">
        <v>272114821.37967491</v>
      </c>
      <c r="G92" s="793">
        <v>62907000</v>
      </c>
      <c r="H92" s="793">
        <v>15898000</v>
      </c>
    </row>
    <row r="93" spans="2:9" hidden="1" outlineLevel="1" x14ac:dyDescent="0.2">
      <c r="B93" s="812" t="s">
        <v>453</v>
      </c>
      <c r="D93" s="817">
        <v>0</v>
      </c>
      <c r="E93" s="817">
        <v>0</v>
      </c>
      <c r="F93" s="817">
        <v>0</v>
      </c>
      <c r="G93" s="817">
        <v>0</v>
      </c>
      <c r="H93" s="817">
        <v>0</v>
      </c>
    </row>
    <row r="94" spans="2:9" hidden="1" outlineLevel="1" x14ac:dyDescent="0.2">
      <c r="B94" s="812" t="s">
        <v>454</v>
      </c>
      <c r="D94" s="793">
        <v>34215000</v>
      </c>
      <c r="E94" s="793">
        <v>32909000</v>
      </c>
      <c r="F94" s="793">
        <v>272114821.37967491</v>
      </c>
      <c r="G94" s="793">
        <v>62907000</v>
      </c>
      <c r="H94" s="793">
        <v>15898000</v>
      </c>
      <c r="I94" s="798"/>
    </row>
    <row r="95" spans="2:9" hidden="1" outlineLevel="1" x14ac:dyDescent="0.2">
      <c r="B95" s="812" t="s">
        <v>445</v>
      </c>
      <c r="D95" s="793">
        <v>481000</v>
      </c>
      <c r="E95" s="793">
        <v>598608.16012317175</v>
      </c>
      <c r="F95" s="793">
        <v>2060000</v>
      </c>
      <c r="G95" s="793">
        <v>6857249.4226327948</v>
      </c>
      <c r="H95" s="793">
        <v>0</v>
      </c>
    </row>
    <row r="96" spans="2:9" hidden="1" outlineLevel="1" x14ac:dyDescent="0.2">
      <c r="B96" s="812" t="s">
        <v>446</v>
      </c>
      <c r="D96" s="793">
        <v>0</v>
      </c>
      <c r="E96" s="793">
        <v>0</v>
      </c>
      <c r="F96" s="793">
        <v>0</v>
      </c>
      <c r="G96" s="793">
        <v>7718000</v>
      </c>
      <c r="H96" s="793">
        <v>0</v>
      </c>
    </row>
    <row r="97" spans="2:10" hidden="1" outlineLevel="1" x14ac:dyDescent="0.2">
      <c r="B97" s="818" t="s">
        <v>455</v>
      </c>
      <c r="D97" s="793">
        <v>4480000</v>
      </c>
      <c r="E97" s="793">
        <v>3941000</v>
      </c>
      <c r="F97" s="793">
        <v>3988000</v>
      </c>
      <c r="G97" s="793">
        <v>3411000</v>
      </c>
      <c r="H97" s="793">
        <v>3967000</v>
      </c>
    </row>
    <row r="98" spans="2:10" hidden="1" outlineLevel="1" x14ac:dyDescent="0.2">
      <c r="B98" s="819" t="s">
        <v>456</v>
      </c>
      <c r="D98" s="793">
        <v>3472700</v>
      </c>
      <c r="E98" s="793">
        <v>3177725.7120862198</v>
      </c>
      <c r="F98" s="793">
        <v>4233600</v>
      </c>
      <c r="G98" s="793">
        <v>7187774.5958429556</v>
      </c>
      <c r="H98" s="793">
        <v>2776900</v>
      </c>
    </row>
    <row r="99" spans="2:10" hidden="1" outlineLevel="1" x14ac:dyDescent="0.2">
      <c r="B99" s="819" t="s">
        <v>457</v>
      </c>
      <c r="D99" s="793">
        <v>1488300.0000000002</v>
      </c>
      <c r="E99" s="793">
        <v>1361882.4480369515</v>
      </c>
      <c r="F99" s="793">
        <v>1814400.0000000002</v>
      </c>
      <c r="G99" s="793">
        <v>3080474.8267898387</v>
      </c>
      <c r="H99" s="793">
        <v>1190100.0000000002</v>
      </c>
    </row>
    <row r="100" spans="2:10" hidden="1" outlineLevel="1" x14ac:dyDescent="0.2"/>
    <row r="101" spans="2:10" hidden="1" outlineLevel="1" x14ac:dyDescent="0.2">
      <c r="B101" s="814" t="s">
        <v>458</v>
      </c>
      <c r="C101" s="811"/>
      <c r="D101" s="811">
        <v>2017</v>
      </c>
      <c r="E101" s="811">
        <v>2018</v>
      </c>
      <c r="F101" s="811">
        <v>2019</v>
      </c>
      <c r="G101" s="811">
        <v>2020</v>
      </c>
      <c r="H101" s="811">
        <v>2021</v>
      </c>
    </row>
    <row r="102" spans="2:10" hidden="1" outlineLevel="1" x14ac:dyDescent="0.2">
      <c r="B102" s="745" t="s">
        <v>429</v>
      </c>
      <c r="D102" s="793">
        <v>0</v>
      </c>
      <c r="E102" s="793">
        <v>0</v>
      </c>
      <c r="F102" s="793">
        <v>0</v>
      </c>
      <c r="G102" s="793">
        <v>0</v>
      </c>
      <c r="H102" s="793">
        <v>0</v>
      </c>
    </row>
    <row r="103" spans="2:10" hidden="1" outlineLevel="1" x14ac:dyDescent="0.2">
      <c r="B103" s="745" t="s">
        <v>430</v>
      </c>
      <c r="D103" s="820">
        <v>0</v>
      </c>
      <c r="E103" s="820">
        <v>0</v>
      </c>
      <c r="F103" s="820">
        <v>0</v>
      </c>
      <c r="G103" s="820">
        <v>0</v>
      </c>
      <c r="H103" s="820">
        <v>0</v>
      </c>
    </row>
    <row r="104" spans="2:10" hidden="1" outlineLevel="1" x14ac:dyDescent="0.2">
      <c r="B104" s="745" t="s">
        <v>431</v>
      </c>
      <c r="D104" s="813">
        <v>3.5000000000000003E-2</v>
      </c>
      <c r="E104" s="813">
        <v>3.5000000000000003E-2</v>
      </c>
      <c r="F104" s="813">
        <v>3.5000000000000003E-2</v>
      </c>
      <c r="G104" s="813">
        <v>3.5000000000000003E-2</v>
      </c>
      <c r="H104" s="813">
        <v>3.5000000000000003E-2</v>
      </c>
    </row>
    <row r="105" spans="2:10" hidden="1" outlineLevel="1" x14ac:dyDescent="0.2">
      <c r="B105" s="745" t="s">
        <v>421</v>
      </c>
    </row>
    <row r="106" spans="2:10" hidden="1" outlineLevel="1" x14ac:dyDescent="0.2">
      <c r="B106" s="745" t="s">
        <v>422</v>
      </c>
      <c r="D106" s="793">
        <v>0</v>
      </c>
      <c r="E106" s="793">
        <v>0</v>
      </c>
      <c r="F106" s="793">
        <v>0</v>
      </c>
      <c r="G106" s="793">
        <v>0</v>
      </c>
      <c r="H106" s="793">
        <v>0</v>
      </c>
      <c r="J106" s="821"/>
    </row>
    <row r="107" spans="2:10" hidden="1" outlineLevel="1" x14ac:dyDescent="0.2">
      <c r="B107" s="745" t="s">
        <v>459</v>
      </c>
      <c r="C107" s="793">
        <v>0</v>
      </c>
      <c r="D107" s="793">
        <v>0</v>
      </c>
      <c r="E107" s="793">
        <v>0</v>
      </c>
      <c r="F107" s="793">
        <v>0</v>
      </c>
      <c r="G107" s="793">
        <v>0</v>
      </c>
      <c r="H107" s="793">
        <v>0</v>
      </c>
    </row>
    <row r="108" spans="2:10" hidden="1" outlineLevel="1" x14ac:dyDescent="0.2">
      <c r="B108" s="822" t="s">
        <v>460</v>
      </c>
      <c r="C108" s="823">
        <v>0</v>
      </c>
      <c r="D108" s="823">
        <v>0</v>
      </c>
      <c r="E108" s="823">
        <v>0</v>
      </c>
      <c r="F108" s="823">
        <v>0</v>
      </c>
      <c r="G108" s="823">
        <v>0</v>
      </c>
      <c r="H108" s="823">
        <v>0</v>
      </c>
    </row>
    <row r="109" spans="2:10" hidden="1" outlineLevel="1" x14ac:dyDescent="0.2">
      <c r="B109" s="745" t="s">
        <v>425</v>
      </c>
      <c r="D109" s="793">
        <v>0</v>
      </c>
      <c r="E109" s="793">
        <v>0</v>
      </c>
      <c r="F109" s="793">
        <v>0</v>
      </c>
      <c r="G109" s="793">
        <v>0</v>
      </c>
      <c r="H109" s="793">
        <v>0</v>
      </c>
    </row>
    <row r="110" spans="2:10" hidden="1" outlineLevel="1" x14ac:dyDescent="0.2">
      <c r="B110" s="822" t="s">
        <v>461</v>
      </c>
      <c r="C110" s="823">
        <v>0</v>
      </c>
      <c r="D110" s="823">
        <v>0</v>
      </c>
      <c r="E110" s="823">
        <v>0</v>
      </c>
      <c r="F110" s="823">
        <v>0</v>
      </c>
      <c r="G110" s="823">
        <v>0</v>
      </c>
      <c r="H110" s="823">
        <v>0</v>
      </c>
    </row>
    <row r="111" spans="2:10" hidden="1" outlineLevel="1" x14ac:dyDescent="0.2">
      <c r="I111" s="824"/>
    </row>
    <row r="112" spans="2:10" hidden="1" outlineLevel="1" x14ac:dyDescent="0.2"/>
    <row r="113" spans="2:10" hidden="1" outlineLevel="1" x14ac:dyDescent="0.2">
      <c r="B113" s="814" t="s">
        <v>462</v>
      </c>
      <c r="C113" s="811" t="s">
        <v>463</v>
      </c>
      <c r="D113" s="811">
        <v>2017</v>
      </c>
      <c r="E113" s="811">
        <v>2018</v>
      </c>
      <c r="F113" s="811">
        <v>2019</v>
      </c>
      <c r="G113" s="811">
        <v>2020</v>
      </c>
      <c r="H113" s="811">
        <v>2021</v>
      </c>
    </row>
    <row r="114" spans="2:10" hidden="1" outlineLevel="1" x14ac:dyDescent="0.2">
      <c r="B114" s="745" t="s">
        <v>429</v>
      </c>
      <c r="D114" s="793">
        <v>34215000</v>
      </c>
      <c r="E114" s="793">
        <v>32909000</v>
      </c>
      <c r="F114" s="793">
        <v>272114821.37967491</v>
      </c>
      <c r="G114" s="793">
        <v>62907000</v>
      </c>
      <c r="H114" s="793">
        <v>15898000</v>
      </c>
    </row>
    <row r="115" spans="2:10" hidden="1" outlineLevel="1" x14ac:dyDescent="0.2">
      <c r="B115" s="745" t="s">
        <v>430</v>
      </c>
      <c r="D115" s="825">
        <v>2694380.8219178081</v>
      </c>
      <c r="E115" s="825">
        <v>12580131.506849315</v>
      </c>
      <c r="F115" s="825">
        <v>63536700.143196598</v>
      </c>
      <c r="G115" s="825">
        <v>26126134.246575341</v>
      </c>
      <c r="H115" s="825">
        <v>5077643.8356164377</v>
      </c>
    </row>
    <row r="116" spans="2:10" hidden="1" outlineLevel="1" x14ac:dyDescent="0.2">
      <c r="B116" s="745" t="s">
        <v>431</v>
      </c>
      <c r="D116" s="813">
        <v>3.5000000000000003E-2</v>
      </c>
      <c r="E116" s="813">
        <v>3.5000000000000003E-2</v>
      </c>
      <c r="F116" s="813">
        <v>3.5000000000000003E-2</v>
      </c>
      <c r="G116" s="813">
        <v>3.5000000000000003E-2</v>
      </c>
      <c r="H116" s="813">
        <v>3.5000000000000003E-2</v>
      </c>
    </row>
    <row r="117" spans="2:10" hidden="1" outlineLevel="1" x14ac:dyDescent="0.2">
      <c r="B117" s="745" t="s">
        <v>421</v>
      </c>
    </row>
    <row r="118" spans="2:10" hidden="1" outlineLevel="1" x14ac:dyDescent="0.2">
      <c r="B118" s="745" t="s">
        <v>422</v>
      </c>
      <c r="D118" s="793">
        <v>-94303.328767123297</v>
      </c>
      <c r="E118" s="793">
        <v>-1637829.6027397264</v>
      </c>
      <c r="F118" s="793">
        <v>-4573124.5050118817</v>
      </c>
      <c r="G118" s="793">
        <v>-12787773.446918761</v>
      </c>
      <c r="H118" s="793">
        <v>-14252821.282535197</v>
      </c>
      <c r="J118" s="821"/>
    </row>
    <row r="119" spans="2:10" hidden="1" outlineLevel="1" x14ac:dyDescent="0.2">
      <c r="B119" s="745" t="s">
        <v>459</v>
      </c>
      <c r="C119" s="793">
        <v>0</v>
      </c>
      <c r="D119" s="793">
        <v>34120696.671232879</v>
      </c>
      <c r="E119" s="793">
        <v>65391867.06849315</v>
      </c>
      <c r="F119" s="793">
        <v>332933563.94315618</v>
      </c>
      <c r="G119" s="793">
        <v>383052790.4962374</v>
      </c>
      <c r="H119" s="793">
        <v>384697969.2137022</v>
      </c>
    </row>
    <row r="120" spans="2:10" hidden="1" outlineLevel="1" x14ac:dyDescent="0.2">
      <c r="B120" s="822" t="s">
        <v>460</v>
      </c>
      <c r="C120" s="823">
        <v>0</v>
      </c>
      <c r="D120" s="823">
        <v>34215000</v>
      </c>
      <c r="E120" s="823">
        <v>67124000</v>
      </c>
      <c r="F120" s="823">
        <v>339238821.37967491</v>
      </c>
      <c r="G120" s="823">
        <v>402145821.37967491</v>
      </c>
      <c r="H120" s="823">
        <v>418043821.37967491</v>
      </c>
    </row>
    <row r="121" spans="2:10" hidden="1" outlineLevel="1" x14ac:dyDescent="0.2">
      <c r="B121" s="745" t="s">
        <v>425</v>
      </c>
      <c r="D121" s="793">
        <v>-94303.328767123297</v>
      </c>
      <c r="E121" s="793">
        <v>-1732132.9315068498</v>
      </c>
      <c r="F121" s="793">
        <v>-6305257.4365187315</v>
      </c>
      <c r="G121" s="793">
        <v>-19093030.883437492</v>
      </c>
      <c r="H121" s="793">
        <v>-33345852.165972687</v>
      </c>
    </row>
    <row r="122" spans="2:10" hidden="1" outlineLevel="1" x14ac:dyDescent="0.2">
      <c r="B122" s="822" t="s">
        <v>461</v>
      </c>
      <c r="C122" s="823">
        <v>0</v>
      </c>
      <c r="D122" s="823">
        <v>34120696.671232879</v>
      </c>
      <c r="E122" s="823">
        <v>65391867.06849315</v>
      </c>
      <c r="F122" s="823">
        <v>332933563.94315618</v>
      </c>
      <c r="G122" s="823">
        <v>383052790.4962374</v>
      </c>
      <c r="H122" s="823">
        <v>384697969.2137022</v>
      </c>
    </row>
    <row r="123" spans="2:10" hidden="1" outlineLevel="1" x14ac:dyDescent="0.2">
      <c r="B123" s="822"/>
      <c r="C123" s="822"/>
      <c r="D123" s="823"/>
      <c r="E123" s="823"/>
      <c r="F123" s="823"/>
      <c r="G123" s="823"/>
      <c r="H123" s="823"/>
    </row>
    <row r="124" spans="2:10" hidden="1" outlineLevel="2" x14ac:dyDescent="0.2">
      <c r="B124" s="814" t="s">
        <v>464</v>
      </c>
      <c r="C124" s="811" t="s">
        <v>465</v>
      </c>
      <c r="D124" s="811">
        <v>2017</v>
      </c>
      <c r="E124" s="811">
        <v>2018</v>
      </c>
      <c r="F124" s="811">
        <v>2019</v>
      </c>
      <c r="G124" s="811">
        <v>2020</v>
      </c>
      <c r="H124" s="811">
        <v>2021</v>
      </c>
    </row>
    <row r="125" spans="2:10" hidden="1" outlineLevel="2" x14ac:dyDescent="0.2">
      <c r="B125" s="745" t="s">
        <v>429</v>
      </c>
      <c r="D125" s="793">
        <v>3472700</v>
      </c>
      <c r="E125" s="793">
        <v>3177725.7120862198</v>
      </c>
      <c r="F125" s="793">
        <v>4233600</v>
      </c>
      <c r="G125" s="793">
        <v>7187774.5958429556</v>
      </c>
      <c r="H125" s="793">
        <v>2776900</v>
      </c>
      <c r="I125" s="826"/>
      <c r="J125" s="827"/>
    </row>
    <row r="126" spans="2:10" hidden="1" outlineLevel="2" x14ac:dyDescent="0.2">
      <c r="B126" s="745" t="s">
        <v>430</v>
      </c>
      <c r="D126" s="825">
        <v>2104986.3013698631</v>
      </c>
      <c r="E126" s="825">
        <v>2132993.9711263669</v>
      </c>
      <c r="F126" s="825">
        <v>2841731.506849315</v>
      </c>
      <c r="G126" s="825">
        <v>1811713.0488152108</v>
      </c>
      <c r="H126" s="825">
        <v>699930.95890410955</v>
      </c>
      <c r="I126" s="824"/>
    </row>
    <row r="127" spans="2:10" hidden="1" outlineLevel="2" x14ac:dyDescent="0.2">
      <c r="B127" s="745" t="s">
        <v>431</v>
      </c>
      <c r="C127" s="828"/>
      <c r="D127" s="828">
        <v>3.4838098558625408E-2</v>
      </c>
      <c r="E127" s="828">
        <v>3.4838098558625408E-2</v>
      </c>
      <c r="F127" s="828">
        <v>3.4838098558625408E-2</v>
      </c>
      <c r="G127" s="828">
        <v>3.4838098558625408E-2</v>
      </c>
      <c r="H127" s="828">
        <v>3.4838098558625408E-2</v>
      </c>
    </row>
    <row r="128" spans="2:10" hidden="1" outlineLevel="2" x14ac:dyDescent="0.2">
      <c r="B128" s="745" t="s">
        <v>421</v>
      </c>
    </row>
    <row r="129" spans="2:10" hidden="1" outlineLevel="2" x14ac:dyDescent="0.2">
      <c r="B129" s="745" t="s">
        <v>422</v>
      </c>
      <c r="D129" s="793">
        <v>-73333.720231679661</v>
      </c>
      <c r="E129" s="793">
        <v>-195291.71905559261</v>
      </c>
      <c r="F129" s="793">
        <v>-330688.70872724382</v>
      </c>
      <c r="G129" s="793">
        <v>-442295.39822684485</v>
      </c>
      <c r="H129" s="793">
        <v>-653971.42398996814</v>
      </c>
      <c r="J129" s="821"/>
    </row>
    <row r="130" spans="2:10" hidden="1" outlineLevel="2" x14ac:dyDescent="0.2">
      <c r="B130" s="745" t="s">
        <v>459</v>
      </c>
      <c r="C130" s="793">
        <v>0</v>
      </c>
      <c r="D130" s="793">
        <v>3399366.2797683203</v>
      </c>
      <c r="E130" s="793">
        <v>6381800.2727989471</v>
      </c>
      <c r="F130" s="793">
        <v>10284711.564071704</v>
      </c>
      <c r="G130" s="793">
        <v>17030190.761687811</v>
      </c>
      <c r="H130" s="793">
        <v>19153119.337697845</v>
      </c>
    </row>
    <row r="131" spans="2:10" hidden="1" outlineLevel="2" x14ac:dyDescent="0.2">
      <c r="B131" s="822" t="s">
        <v>460</v>
      </c>
      <c r="C131" s="823">
        <v>0</v>
      </c>
      <c r="D131" s="823">
        <v>3472700</v>
      </c>
      <c r="E131" s="823">
        <v>6650425.7120862193</v>
      </c>
      <c r="F131" s="823">
        <v>10884025.712086219</v>
      </c>
      <c r="G131" s="823">
        <v>18071800.307929173</v>
      </c>
      <c r="H131" s="823">
        <v>20848700.307929173</v>
      </c>
    </row>
    <row r="132" spans="2:10" hidden="1" outlineLevel="2" x14ac:dyDescent="0.2">
      <c r="B132" s="745" t="s">
        <v>425</v>
      </c>
      <c r="D132" s="793">
        <v>-73333.720231679661</v>
      </c>
      <c r="E132" s="793">
        <v>-268625.43928727228</v>
      </c>
      <c r="F132" s="793">
        <v>-599314.1480145161</v>
      </c>
      <c r="G132" s="793">
        <v>-1041609.5462413609</v>
      </c>
      <c r="H132" s="793">
        <v>-1695580.9702313291</v>
      </c>
    </row>
    <row r="133" spans="2:10" hidden="1" outlineLevel="2" x14ac:dyDescent="0.2">
      <c r="B133" s="822" t="s">
        <v>461</v>
      </c>
      <c r="C133" s="823">
        <v>0</v>
      </c>
      <c r="D133" s="823">
        <v>3399366.2797683203</v>
      </c>
      <c r="E133" s="823">
        <v>6381800.2727989471</v>
      </c>
      <c r="F133" s="823">
        <v>10284711.564071704</v>
      </c>
      <c r="G133" s="823">
        <v>17030190.761687811</v>
      </c>
      <c r="H133" s="823">
        <v>19153119.337697845</v>
      </c>
    </row>
    <row r="134" spans="2:10" hidden="1" outlineLevel="2" x14ac:dyDescent="0.2">
      <c r="B134" s="822"/>
      <c r="C134" s="822"/>
      <c r="D134" s="823"/>
      <c r="E134" s="823"/>
      <c r="F134" s="823"/>
      <c r="G134" s="823"/>
      <c r="H134" s="823"/>
    </row>
    <row r="135" spans="2:10" hidden="1" outlineLevel="1" x14ac:dyDescent="0.2">
      <c r="B135" s="814" t="s">
        <v>464</v>
      </c>
      <c r="C135" s="811" t="s">
        <v>466</v>
      </c>
      <c r="D135" s="811">
        <v>2017</v>
      </c>
      <c r="E135" s="811">
        <v>2018</v>
      </c>
      <c r="F135" s="811">
        <v>2019</v>
      </c>
      <c r="G135" s="811">
        <v>2020</v>
      </c>
      <c r="H135" s="811">
        <v>2021</v>
      </c>
    </row>
    <row r="136" spans="2:10" hidden="1" outlineLevel="1" x14ac:dyDescent="0.2">
      <c r="B136" s="745" t="s">
        <v>429</v>
      </c>
      <c r="D136" s="793">
        <v>1488300.0000000002</v>
      </c>
      <c r="E136" s="793">
        <v>1361882.4480369515</v>
      </c>
      <c r="F136" s="793">
        <v>1814400.0000000002</v>
      </c>
      <c r="G136" s="793">
        <v>3080474.8267898387</v>
      </c>
      <c r="H136" s="793">
        <v>1190100.0000000002</v>
      </c>
      <c r="I136" s="826"/>
    </row>
    <row r="137" spans="2:10" hidden="1" outlineLevel="1" x14ac:dyDescent="0.2">
      <c r="B137" s="745" t="s">
        <v>430</v>
      </c>
      <c r="D137" s="825">
        <v>902136.98630137008</v>
      </c>
      <c r="E137" s="825">
        <v>914140.27333987178</v>
      </c>
      <c r="F137" s="825">
        <v>1217884.9315068496</v>
      </c>
      <c r="G137" s="825">
        <v>776448.44949223334</v>
      </c>
      <c r="H137" s="825">
        <v>299970.41095890419</v>
      </c>
      <c r="I137" s="824"/>
    </row>
    <row r="138" spans="2:10" hidden="1" outlineLevel="1" x14ac:dyDescent="0.2">
      <c r="B138" s="745" t="s">
        <v>431</v>
      </c>
      <c r="C138" s="828"/>
      <c r="D138" s="828">
        <v>3.4838098558625408E-2</v>
      </c>
      <c r="E138" s="828">
        <v>3.4838098558625408E-2</v>
      </c>
      <c r="F138" s="828">
        <v>3.4838098558625408E-2</v>
      </c>
      <c r="G138" s="828">
        <v>3.4838098558625408E-2</v>
      </c>
      <c r="H138" s="828">
        <v>3.4838098558625408E-2</v>
      </c>
    </row>
    <row r="139" spans="2:10" hidden="1" outlineLevel="1" x14ac:dyDescent="0.2">
      <c r="B139" s="745" t="s">
        <v>421</v>
      </c>
    </row>
    <row r="140" spans="2:10" hidden="1" outlineLevel="1" x14ac:dyDescent="0.2">
      <c r="B140" s="745" t="s">
        <v>422</v>
      </c>
      <c r="D140" s="793">
        <v>-31428.737242148429</v>
      </c>
      <c r="E140" s="793">
        <v>-83696.45102382543</v>
      </c>
      <c r="F140" s="793">
        <v>-141723.73231167597</v>
      </c>
      <c r="G140" s="793">
        <v>-189555.1706686478</v>
      </c>
      <c r="H140" s="793">
        <v>-280273.46742427209</v>
      </c>
      <c r="J140" s="821"/>
    </row>
    <row r="141" spans="2:10" hidden="1" outlineLevel="1" x14ac:dyDescent="0.2">
      <c r="B141" s="745" t="s">
        <v>459</v>
      </c>
      <c r="C141" s="793">
        <v>0</v>
      </c>
      <c r="D141" s="793">
        <v>1456871.2627578517</v>
      </c>
      <c r="E141" s="793">
        <v>2735057.2597709778</v>
      </c>
      <c r="F141" s="793">
        <v>4407733.527459302</v>
      </c>
      <c r="G141" s="793">
        <v>7298653.1835804926</v>
      </c>
      <c r="H141" s="793">
        <v>8208479.7161562219</v>
      </c>
    </row>
    <row r="142" spans="2:10" hidden="1" outlineLevel="1" x14ac:dyDescent="0.2">
      <c r="B142" s="822" t="s">
        <v>460</v>
      </c>
      <c r="C142" s="823">
        <v>0</v>
      </c>
      <c r="D142" s="823">
        <v>1488300.0000000002</v>
      </c>
      <c r="E142" s="823">
        <v>2850182.4480369519</v>
      </c>
      <c r="F142" s="823">
        <v>4664582.4480369519</v>
      </c>
      <c r="G142" s="823">
        <v>7745057.2748267911</v>
      </c>
      <c r="H142" s="823">
        <v>8935157.2748267911</v>
      </c>
    </row>
    <row r="143" spans="2:10" hidden="1" outlineLevel="1" x14ac:dyDescent="0.2">
      <c r="B143" s="745" t="s">
        <v>425</v>
      </c>
      <c r="D143" s="793">
        <v>-31428.737242148429</v>
      </c>
      <c r="E143" s="793">
        <v>-115125.18826597386</v>
      </c>
      <c r="F143" s="793">
        <v>-256848.92057764984</v>
      </c>
      <c r="G143" s="793">
        <v>-446404.09124629764</v>
      </c>
      <c r="H143" s="793">
        <v>-726677.55867056968</v>
      </c>
    </row>
    <row r="144" spans="2:10" hidden="1" outlineLevel="1" x14ac:dyDescent="0.2">
      <c r="B144" s="822" t="s">
        <v>461</v>
      </c>
      <c r="C144" s="823">
        <v>0</v>
      </c>
      <c r="D144" s="823">
        <v>1456871.2627578517</v>
      </c>
      <c r="E144" s="823">
        <v>2735057.2597709782</v>
      </c>
      <c r="F144" s="823">
        <v>4407733.527459302</v>
      </c>
      <c r="G144" s="823">
        <v>7298653.1835804936</v>
      </c>
      <c r="H144" s="823">
        <v>8208479.7161562219</v>
      </c>
    </row>
    <row r="145" spans="2:9" hidden="1" outlineLevel="1" x14ac:dyDescent="0.2">
      <c r="B145" s="800"/>
      <c r="C145" s="829"/>
    </row>
    <row r="146" spans="2:9" hidden="1" outlineLevel="1" x14ac:dyDescent="0.2">
      <c r="B146" s="790" t="s">
        <v>467</v>
      </c>
      <c r="C146" s="830">
        <v>2016</v>
      </c>
      <c r="D146" s="830">
        <v>2017</v>
      </c>
      <c r="E146" s="830">
        <v>2018</v>
      </c>
      <c r="F146" s="830">
        <v>2019</v>
      </c>
      <c r="G146" s="830">
        <v>2020</v>
      </c>
      <c r="H146" s="830">
        <v>2021</v>
      </c>
      <c r="I146" s="745" t="s">
        <v>468</v>
      </c>
    </row>
    <row r="147" spans="2:9" hidden="1" outlineLevel="1" x14ac:dyDescent="0.2">
      <c r="B147" s="745" t="s">
        <v>459</v>
      </c>
      <c r="C147" s="793"/>
      <c r="D147" s="793">
        <v>3399366.2797683203</v>
      </c>
      <c r="E147" s="793">
        <v>6381800.2727989471</v>
      </c>
      <c r="F147" s="793">
        <v>10284711.564071704</v>
      </c>
      <c r="G147" s="793">
        <v>17030190.761687811</v>
      </c>
      <c r="H147" s="793">
        <v>19153119.337697845</v>
      </c>
    </row>
    <row r="148" spans="2:9" hidden="1" outlineLevel="1" x14ac:dyDescent="0.2">
      <c r="B148" s="745" t="s">
        <v>469</v>
      </c>
      <c r="C148" s="829"/>
      <c r="D148" s="793">
        <v>-73333.720231679661</v>
      </c>
      <c r="E148" s="793">
        <v>-195291.71905559261</v>
      </c>
      <c r="F148" s="793">
        <v>-330688.70872724382</v>
      </c>
      <c r="G148" s="793">
        <v>-442295.39822684485</v>
      </c>
      <c r="H148" s="793">
        <v>-653971.42398996814</v>
      </c>
    </row>
    <row r="149" spans="2:9" hidden="1" outlineLevel="1" x14ac:dyDescent="0.2">
      <c r="B149" s="745" t="s">
        <v>460</v>
      </c>
      <c r="C149" s="829"/>
      <c r="D149" s="793">
        <v>3472700</v>
      </c>
      <c r="E149" s="793">
        <v>6650425.7120862193</v>
      </c>
      <c r="F149" s="793">
        <v>10884025.712086219</v>
      </c>
      <c r="G149" s="793">
        <v>18071800.307929173</v>
      </c>
      <c r="H149" s="793">
        <v>20848700.307929173</v>
      </c>
    </row>
    <row r="150" spans="2:9" hidden="1" outlineLevel="1" x14ac:dyDescent="0.2">
      <c r="B150" s="745" t="s">
        <v>430</v>
      </c>
      <c r="C150" s="829"/>
      <c r="D150" s="793">
        <v>2104986.3013698631</v>
      </c>
      <c r="E150" s="793">
        <v>2132993.9711263669</v>
      </c>
      <c r="F150" s="793">
        <v>2841731.506849315</v>
      </c>
      <c r="G150" s="793">
        <v>1811713.0488152108</v>
      </c>
      <c r="H150" s="793">
        <v>699930.95890410955</v>
      </c>
    </row>
    <row r="151" spans="2:9" hidden="1" outlineLevel="1" x14ac:dyDescent="0.2">
      <c r="B151" s="790" t="s">
        <v>467</v>
      </c>
      <c r="C151" s="830">
        <v>2016</v>
      </c>
      <c r="D151" s="830">
        <v>2017</v>
      </c>
      <c r="E151" s="830">
        <v>2018</v>
      </c>
      <c r="F151" s="830">
        <v>2019</v>
      </c>
      <c r="G151" s="830">
        <v>2020</v>
      </c>
      <c r="H151" s="830">
        <v>2021</v>
      </c>
      <c r="I151" s="745" t="s">
        <v>470</v>
      </c>
    </row>
    <row r="152" spans="2:9" hidden="1" outlineLevel="1" x14ac:dyDescent="0.2">
      <c r="B152" s="745" t="s">
        <v>459</v>
      </c>
      <c r="C152" s="793"/>
      <c r="D152" s="793">
        <v>35577567.933990732</v>
      </c>
      <c r="E152" s="793">
        <v>68126924.328264132</v>
      </c>
      <c r="F152" s="793">
        <v>337341297.47061551</v>
      </c>
      <c r="G152" s="793">
        <v>390351443.67981791</v>
      </c>
      <c r="H152" s="793">
        <v>392906448.92985845</v>
      </c>
    </row>
    <row r="153" spans="2:9" hidden="1" outlineLevel="1" x14ac:dyDescent="0.2">
      <c r="B153" s="745" t="s">
        <v>469</v>
      </c>
      <c r="C153" s="829"/>
      <c r="D153" s="793">
        <v>-125732.06600927173</v>
      </c>
      <c r="E153" s="793">
        <v>-1721526.0537635519</v>
      </c>
      <c r="F153" s="793">
        <v>-4714848.237323558</v>
      </c>
      <c r="G153" s="793">
        <v>-12977328.61758741</v>
      </c>
      <c r="H153" s="793">
        <v>-14533094.749959469</v>
      </c>
    </row>
    <row r="154" spans="2:9" hidden="1" outlineLevel="1" x14ac:dyDescent="0.2">
      <c r="B154" s="745" t="s">
        <v>460</v>
      </c>
      <c r="C154" s="831"/>
      <c r="D154" s="793">
        <v>35703300</v>
      </c>
      <c r="E154" s="793">
        <v>69974182.448036954</v>
      </c>
      <c r="F154" s="793">
        <v>343903403.82771188</v>
      </c>
      <c r="G154" s="793">
        <v>409890878.65450168</v>
      </c>
      <c r="H154" s="793">
        <v>426978978.65450168</v>
      </c>
    </row>
    <row r="155" spans="2:9" hidden="1" outlineLevel="1" x14ac:dyDescent="0.2">
      <c r="B155" s="745" t="s">
        <v>430</v>
      </c>
      <c r="C155" s="829"/>
      <c r="D155" s="793">
        <v>3596517.8082191781</v>
      </c>
      <c r="E155" s="793">
        <v>13494271.780189186</v>
      </c>
      <c r="F155" s="793">
        <v>64754585.074703448</v>
      </c>
      <c r="G155" s="793">
        <v>26902582.696067575</v>
      </c>
      <c r="H155" s="793">
        <v>5377614.2465753416</v>
      </c>
    </row>
    <row r="156" spans="2:9" hidden="1" outlineLevel="1" x14ac:dyDescent="0.2">
      <c r="C156" s="793"/>
      <c r="D156" s="793"/>
      <c r="E156" s="793"/>
      <c r="F156" s="793"/>
      <c r="G156" s="793"/>
      <c r="H156" s="793"/>
    </row>
    <row r="157" spans="2:9" s="747" customFormat="1" collapsed="1" x14ac:dyDescent="0.2">
      <c r="B157" s="746" t="s">
        <v>301</v>
      </c>
    </row>
    <row r="158" spans="2:9" x14ac:dyDescent="0.2">
      <c r="B158" s="800"/>
      <c r="C158" s="829"/>
    </row>
    <row r="159" spans="2:9" x14ac:dyDescent="0.2">
      <c r="B159" s="746"/>
      <c r="C159" s="746">
        <v>2024</v>
      </c>
      <c r="D159" s="746">
        <v>2025</v>
      </c>
      <c r="E159" s="746">
        <v>2026</v>
      </c>
      <c r="F159" s="746">
        <v>2027</v>
      </c>
      <c r="G159" s="746">
        <v>2028</v>
      </c>
      <c r="H159" s="746">
        <v>2029</v>
      </c>
    </row>
    <row r="160" spans="2:9" x14ac:dyDescent="0.2">
      <c r="B160" s="797" t="s">
        <v>431</v>
      </c>
      <c r="C160" s="791">
        <v>2.0108275483515788E-2</v>
      </c>
      <c r="D160" s="791">
        <v>2.0108275483515788E-2</v>
      </c>
      <c r="E160" s="791">
        <v>2.0108275483515788E-2</v>
      </c>
      <c r="F160" s="791">
        <v>2.0108275483515788E-2</v>
      </c>
      <c r="G160" s="791">
        <v>2.0108275483515788E-2</v>
      </c>
      <c r="H160" s="791">
        <v>2.0108275483515788E-2</v>
      </c>
    </row>
    <row r="161" spans="2:8" x14ac:dyDescent="0.2">
      <c r="B161" s="797" t="s">
        <v>433</v>
      </c>
      <c r="C161" s="801">
        <v>0.02</v>
      </c>
      <c r="D161" s="801">
        <v>0.02</v>
      </c>
      <c r="E161" s="801">
        <v>0.02</v>
      </c>
      <c r="F161" s="801">
        <v>0.02</v>
      </c>
      <c r="G161" s="801">
        <v>0.02</v>
      </c>
      <c r="H161" s="801">
        <v>0.02</v>
      </c>
    </row>
    <row r="162" spans="2:8" x14ac:dyDescent="0.2">
      <c r="B162" s="797" t="s">
        <v>420</v>
      </c>
      <c r="C162" s="793"/>
      <c r="D162" s="793">
        <v>105754659.33500001</v>
      </c>
      <c r="E162" s="793">
        <v>105754659.33500001</v>
      </c>
      <c r="F162" s="793">
        <v>105754659.33500001</v>
      </c>
      <c r="G162" s="793">
        <v>105754659.33500001</v>
      </c>
      <c r="H162" s="793">
        <v>105754659.33500001</v>
      </c>
    </row>
    <row r="163" spans="2:8" x14ac:dyDescent="0.2">
      <c r="B163" s="797" t="s">
        <v>421</v>
      </c>
      <c r="C163" s="793"/>
      <c r="D163" s="793">
        <v>78300982.831740782</v>
      </c>
      <c r="E163" s="793">
        <v>76174439.008167237</v>
      </c>
      <c r="F163" s="793">
        <v>74047895.184593692</v>
      </c>
      <c r="G163" s="793">
        <v>71921351.361020148</v>
      </c>
      <c r="H163" s="793">
        <v>69794807.537446603</v>
      </c>
    </row>
    <row r="164" spans="2:8" x14ac:dyDescent="0.2">
      <c r="B164" s="797" t="s">
        <v>422</v>
      </c>
      <c r="C164" s="793"/>
      <c r="D164" s="793">
        <v>-2126543.8235735446</v>
      </c>
      <c r="E164" s="793">
        <v>-2126543.8235735446</v>
      </c>
      <c r="F164" s="793">
        <v>-2126543.8235735446</v>
      </c>
      <c r="G164" s="793">
        <v>-2126543.8235735446</v>
      </c>
      <c r="H164" s="793">
        <v>-2126543.8235735446</v>
      </c>
    </row>
    <row r="165" spans="2:8" x14ac:dyDescent="0.2">
      <c r="B165" s="797" t="s">
        <v>434</v>
      </c>
      <c r="C165" s="793"/>
      <c r="D165" s="793"/>
      <c r="E165" s="793"/>
      <c r="F165" s="793"/>
      <c r="G165" s="793"/>
      <c r="H165" s="793"/>
    </row>
    <row r="166" spans="2:8" x14ac:dyDescent="0.2">
      <c r="B166" s="797" t="s">
        <v>423</v>
      </c>
      <c r="C166" s="793">
        <v>105754659.33500001</v>
      </c>
      <c r="D166" s="793">
        <v>105754659.33500001</v>
      </c>
      <c r="E166" s="793">
        <v>105754659.33500001</v>
      </c>
      <c r="F166" s="793">
        <v>105754659.33500001</v>
      </c>
      <c r="G166" s="793">
        <v>105754659.33500001</v>
      </c>
      <c r="H166" s="793">
        <v>105754659.33500001</v>
      </c>
    </row>
    <row r="167" spans="2:8" x14ac:dyDescent="0.2">
      <c r="B167" s="797" t="s">
        <v>425</v>
      </c>
      <c r="C167" s="793">
        <v>-27453676.503259227</v>
      </c>
      <c r="D167" s="793">
        <v>-29580220.326832771</v>
      </c>
      <c r="E167" s="793">
        <v>-31706764.150406316</v>
      </c>
      <c r="F167" s="793">
        <v>-33833307.973979861</v>
      </c>
      <c r="G167" s="793">
        <v>-35959851.797553405</v>
      </c>
      <c r="H167" s="793">
        <v>-38086395.62112695</v>
      </c>
    </row>
    <row r="168" spans="2:8" x14ac:dyDescent="0.2">
      <c r="B168" s="797" t="s">
        <v>424</v>
      </c>
      <c r="C168" s="793">
        <v>78300982.831740782</v>
      </c>
      <c r="D168" s="793">
        <v>76174439.008167237</v>
      </c>
      <c r="E168" s="793">
        <v>74047895.184593692</v>
      </c>
      <c r="F168" s="793">
        <v>71921351.361020148</v>
      </c>
      <c r="G168" s="793">
        <v>69794807.537446603</v>
      </c>
      <c r="H168" s="793">
        <v>67668263.713873059</v>
      </c>
    </row>
    <row r="169" spans="2:8" x14ac:dyDescent="0.2">
      <c r="B169" s="797"/>
      <c r="C169" s="832"/>
    </row>
    <row r="170" spans="2:8" x14ac:dyDescent="0.2">
      <c r="B170" s="833" t="s">
        <v>448</v>
      </c>
      <c r="C170" s="746">
        <v>2024</v>
      </c>
      <c r="D170" s="746">
        <v>2025</v>
      </c>
      <c r="E170" s="746">
        <v>2026</v>
      </c>
      <c r="F170" s="746">
        <v>2027</v>
      </c>
      <c r="G170" s="746">
        <v>2028</v>
      </c>
      <c r="H170" s="746">
        <v>2029</v>
      </c>
    </row>
    <row r="171" spans="2:8" x14ac:dyDescent="0.2">
      <c r="B171" s="797" t="s">
        <v>429</v>
      </c>
      <c r="C171" s="793"/>
      <c r="D171" s="793">
        <v>12687898.440000001</v>
      </c>
      <c r="E171" s="793">
        <v>0</v>
      </c>
      <c r="F171" s="793">
        <v>5129056</v>
      </c>
      <c r="G171" s="793">
        <v>0</v>
      </c>
      <c r="H171" s="793">
        <v>0</v>
      </c>
    </row>
    <row r="172" spans="2:8" x14ac:dyDescent="0.2">
      <c r="B172" s="745" t="s">
        <v>430</v>
      </c>
      <c r="C172" s="793"/>
      <c r="D172" s="793">
        <v>5353250.3007123284</v>
      </c>
      <c r="E172" s="793">
        <v>0</v>
      </c>
      <c r="F172" s="793">
        <v>0</v>
      </c>
      <c r="G172" s="793">
        <v>0</v>
      </c>
      <c r="H172" s="793">
        <v>0</v>
      </c>
    </row>
    <row r="173" spans="2:8" x14ac:dyDescent="0.2">
      <c r="B173" s="797" t="s">
        <v>431</v>
      </c>
      <c r="C173" s="801"/>
      <c r="D173" s="813">
        <v>3.2314329354868353E-2</v>
      </c>
      <c r="E173" s="813">
        <v>3.2314329354868353E-2</v>
      </c>
      <c r="F173" s="813">
        <v>3.2314329354868353E-2</v>
      </c>
      <c r="G173" s="813">
        <v>3.2314329354868353E-2</v>
      </c>
      <c r="H173" s="813">
        <v>3.2314329354868353E-2</v>
      </c>
    </row>
    <row r="174" spans="2:8" x14ac:dyDescent="0.2">
      <c r="B174" s="797" t="s">
        <v>421</v>
      </c>
      <c r="C174" s="793"/>
      <c r="D174" s="793">
        <v>0</v>
      </c>
      <c r="E174" s="793">
        <v>12514911.746663734</v>
      </c>
      <c r="F174" s="793">
        <v>12104910.817652455</v>
      </c>
      <c r="G174" s="793">
        <v>16823965.888641175</v>
      </c>
      <c r="H174" s="793">
        <v>16248222.954766331</v>
      </c>
    </row>
    <row r="175" spans="2:8" x14ac:dyDescent="0.2">
      <c r="B175" s="797" t="s">
        <v>422</v>
      </c>
      <c r="C175" s="793"/>
      <c r="D175" s="793">
        <v>-172986.69333626624</v>
      </c>
      <c r="E175" s="793">
        <v>-410000.92901128042</v>
      </c>
      <c r="F175" s="793">
        <v>-410000.92901128042</v>
      </c>
      <c r="G175" s="793">
        <v>-575742.93387484411</v>
      </c>
      <c r="H175" s="793">
        <v>-575742.93387484411</v>
      </c>
    </row>
    <row r="176" spans="2:8" x14ac:dyDescent="0.2">
      <c r="B176" s="797" t="s">
        <v>424</v>
      </c>
      <c r="C176" s="793"/>
      <c r="D176" s="793">
        <v>12514911.746663734</v>
      </c>
      <c r="E176" s="793">
        <v>12104910.817652455</v>
      </c>
      <c r="F176" s="793">
        <v>16823965.888641175</v>
      </c>
      <c r="G176" s="793">
        <v>16248222.954766331</v>
      </c>
      <c r="H176" s="793">
        <v>15672480.020891488</v>
      </c>
    </row>
    <row r="177" spans="2:10 16384:16384" x14ac:dyDescent="0.2">
      <c r="B177" s="797" t="s">
        <v>423</v>
      </c>
      <c r="C177" s="793"/>
      <c r="D177" s="793">
        <v>12687898.440000001</v>
      </c>
      <c r="E177" s="793">
        <v>12687898.440000001</v>
      </c>
      <c r="F177" s="793">
        <v>17816954.440000001</v>
      </c>
      <c r="G177" s="793">
        <v>17816954.440000001</v>
      </c>
      <c r="H177" s="793">
        <v>17816954.440000001</v>
      </c>
    </row>
    <row r="178" spans="2:10 16384:16384" x14ac:dyDescent="0.2">
      <c r="B178" s="797" t="s">
        <v>425</v>
      </c>
      <c r="C178" s="793"/>
      <c r="D178" s="793">
        <v>-172986.69333626624</v>
      </c>
      <c r="E178" s="793">
        <v>-582987.62234754662</v>
      </c>
      <c r="F178" s="793">
        <v>-992988.55135882704</v>
      </c>
      <c r="G178" s="793">
        <v>-1568731.485233671</v>
      </c>
      <c r="H178" s="793">
        <v>-2144474.4191085151</v>
      </c>
    </row>
    <row r="179" spans="2:10 16384:16384" x14ac:dyDescent="0.2">
      <c r="B179" s="797"/>
      <c r="C179" s="834"/>
      <c r="D179" s="793"/>
      <c r="E179" s="793"/>
      <c r="F179" s="793"/>
      <c r="G179" s="793"/>
      <c r="H179" s="793"/>
      <c r="XFD179" s="793"/>
    </row>
    <row r="180" spans="2:10 16384:16384" x14ac:dyDescent="0.2">
      <c r="B180" s="835" t="s">
        <v>864</v>
      </c>
      <c r="C180" s="836">
        <v>105754659.33500001</v>
      </c>
      <c r="D180" s="836">
        <v>118442557.77500001</v>
      </c>
      <c r="E180" s="836">
        <v>118442557.77500001</v>
      </c>
      <c r="F180" s="836">
        <v>123571613.77500001</v>
      </c>
      <c r="G180" s="836">
        <v>123571613.77500001</v>
      </c>
      <c r="H180" s="836">
        <v>123571613.77500001</v>
      </c>
    </row>
    <row r="181" spans="2:10 16384:16384" x14ac:dyDescent="0.2">
      <c r="B181" s="835" t="s">
        <v>865</v>
      </c>
      <c r="C181" s="836">
        <v>78300982.831740782</v>
      </c>
      <c r="D181" s="836">
        <v>88689350.754830971</v>
      </c>
      <c r="E181" s="836">
        <v>86152806.002246141</v>
      </c>
      <c r="F181" s="836">
        <v>88745317.249661326</v>
      </c>
      <c r="G181" s="836">
        <v>86043030.492212936</v>
      </c>
      <c r="H181" s="836">
        <v>83340743.734764546</v>
      </c>
    </row>
    <row r="182" spans="2:10 16384:16384" x14ac:dyDescent="0.2">
      <c r="B182" s="835" t="s">
        <v>355</v>
      </c>
      <c r="C182" s="836">
        <v>0</v>
      </c>
      <c r="D182" s="836">
        <v>-2299530.5169098107</v>
      </c>
      <c r="E182" s="836">
        <v>-2536544.7525848253</v>
      </c>
      <c r="F182" s="836">
        <v>-2536544.7525848253</v>
      </c>
      <c r="G182" s="836">
        <v>-2702286.7574483887</v>
      </c>
      <c r="H182" s="836">
        <v>-2702286.7574483887</v>
      </c>
    </row>
    <row r="185" spans="2:10 16384:16384" s="747" customFormat="1" x14ac:dyDescent="0.2">
      <c r="B185" s="746" t="s">
        <v>339</v>
      </c>
    </row>
    <row r="186" spans="2:10 16384:16384" x14ac:dyDescent="0.2">
      <c r="B186" s="789"/>
      <c r="C186" s="789"/>
      <c r="D186" s="789"/>
      <c r="E186" s="789"/>
      <c r="F186" s="789"/>
      <c r="G186" s="789"/>
      <c r="H186" s="789"/>
    </row>
    <row r="187" spans="2:10 16384:16384" x14ac:dyDescent="0.2">
      <c r="B187" s="833" t="s">
        <v>303</v>
      </c>
      <c r="C187" s="746">
        <v>2024</v>
      </c>
      <c r="D187" s="746">
        <v>2025</v>
      </c>
      <c r="E187" s="746">
        <v>2026</v>
      </c>
      <c r="F187" s="746">
        <v>2027</v>
      </c>
      <c r="G187" s="746">
        <v>2028</v>
      </c>
      <c r="H187" s="746">
        <v>2029</v>
      </c>
    </row>
    <row r="188" spans="2:10 16384:16384" x14ac:dyDescent="0.2">
      <c r="B188" s="745" t="s">
        <v>303</v>
      </c>
    </row>
    <row r="189" spans="2:10 16384:16384" x14ac:dyDescent="0.2">
      <c r="B189" s="745" t="s">
        <v>473</v>
      </c>
      <c r="C189" s="795">
        <v>1446320397.7240605</v>
      </c>
      <c r="D189" s="793">
        <v>1446320397.7240605</v>
      </c>
      <c r="E189" s="793">
        <v>1446320397.7240605</v>
      </c>
      <c r="F189" s="793">
        <v>1446320397.7240605</v>
      </c>
      <c r="G189" s="793">
        <v>1446320397.7240605</v>
      </c>
      <c r="H189" s="793">
        <v>1446320397.7240605</v>
      </c>
      <c r="J189" s="793"/>
    </row>
    <row r="190" spans="2:10 16384:16384" x14ac:dyDescent="0.2">
      <c r="B190" s="745" t="s">
        <v>475</v>
      </c>
      <c r="C190" s="837">
        <v>94208076.562520146</v>
      </c>
      <c r="D190" s="793">
        <v>94208076.562520146</v>
      </c>
      <c r="E190" s="793">
        <v>94208076.562520146</v>
      </c>
      <c r="F190" s="793">
        <v>94208076.562520146</v>
      </c>
      <c r="G190" s="793">
        <v>94208076.562520146</v>
      </c>
      <c r="H190" s="793">
        <v>94208076.562520146</v>
      </c>
      <c r="J190" s="793"/>
    </row>
    <row r="191" spans="2:10 16384:16384" x14ac:dyDescent="0.2">
      <c r="B191" s="745" t="s">
        <v>477</v>
      </c>
      <c r="C191" s="795">
        <v>204700889.83535424</v>
      </c>
      <c r="D191" s="793">
        <v>217388788.27535424</v>
      </c>
      <c r="E191" s="793">
        <v>217388788.27535424</v>
      </c>
      <c r="F191" s="793">
        <v>222517844.27535424</v>
      </c>
      <c r="G191" s="793">
        <v>222517844.27535424</v>
      </c>
      <c r="H191" s="793">
        <v>222517844.27535424</v>
      </c>
      <c r="J191" s="793"/>
    </row>
    <row r="192" spans="2:10 16384:16384" outlineLevel="1" x14ac:dyDescent="0.2"/>
    <row r="193" spans="2:9" outlineLevel="1" x14ac:dyDescent="0.2">
      <c r="B193" s="833" t="s">
        <v>322</v>
      </c>
      <c r="C193" s="746">
        <v>2024</v>
      </c>
      <c r="D193" s="746">
        <v>2025</v>
      </c>
      <c r="E193" s="746">
        <v>2026</v>
      </c>
      <c r="F193" s="746">
        <v>2027</v>
      </c>
      <c r="G193" s="746">
        <v>2028</v>
      </c>
      <c r="H193" s="746">
        <v>2029</v>
      </c>
    </row>
    <row r="194" spans="2:9" outlineLevel="1" x14ac:dyDescent="0.2">
      <c r="B194" s="745" t="s">
        <v>866</v>
      </c>
      <c r="C194" s="793"/>
      <c r="D194" s="793">
        <v>85613540.869935006</v>
      </c>
      <c r="E194" s="793">
        <v>22450948.282125004</v>
      </c>
      <c r="F194" s="793">
        <v>0</v>
      </c>
      <c r="G194" s="793">
        <v>0</v>
      </c>
      <c r="H194" s="793">
        <v>0</v>
      </c>
    </row>
    <row r="195" spans="2:9" outlineLevel="1" x14ac:dyDescent="0.2">
      <c r="B195" s="745" t="s">
        <v>867</v>
      </c>
      <c r="D195" s="793">
        <v>104638772.17436501</v>
      </c>
      <c r="E195" s="793">
        <v>27440047.900375005</v>
      </c>
      <c r="F195" s="793">
        <v>0</v>
      </c>
      <c r="G195" s="793">
        <v>0</v>
      </c>
      <c r="H195" s="793">
        <v>0</v>
      </c>
    </row>
    <row r="196" spans="2:9" outlineLevel="1" x14ac:dyDescent="0.2">
      <c r="B196" s="745" t="s">
        <v>868</v>
      </c>
      <c r="C196" s="838">
        <v>0.45</v>
      </c>
      <c r="D196" s="793">
        <v>0</v>
      </c>
      <c r="E196" s="793">
        <v>0</v>
      </c>
      <c r="F196" s="793">
        <v>0</v>
      </c>
      <c r="G196" s="793">
        <v>0</v>
      </c>
      <c r="H196" s="793">
        <v>0</v>
      </c>
    </row>
    <row r="197" spans="2:9" outlineLevel="1" x14ac:dyDescent="0.2">
      <c r="B197" s="745" t="s">
        <v>476</v>
      </c>
      <c r="C197" s="839">
        <v>0.55000000000000004</v>
      </c>
      <c r="D197" s="793">
        <v>0</v>
      </c>
      <c r="E197" s="793">
        <v>0</v>
      </c>
      <c r="F197" s="793">
        <v>0</v>
      </c>
      <c r="G197" s="793">
        <v>0</v>
      </c>
      <c r="H197" s="793">
        <v>0</v>
      </c>
    </row>
    <row r="198" spans="2:9" outlineLevel="1" x14ac:dyDescent="0.2">
      <c r="D198" s="793"/>
      <c r="E198" s="793"/>
      <c r="F198" s="793"/>
      <c r="G198" s="793"/>
      <c r="H198" s="793"/>
      <c r="I198" s="840"/>
    </row>
    <row r="199" spans="2:9" outlineLevel="1" x14ac:dyDescent="0.2">
      <c r="B199" s="790" t="s">
        <v>478</v>
      </c>
      <c r="C199" s="746">
        <v>2024</v>
      </c>
      <c r="D199" s="746">
        <v>2025</v>
      </c>
      <c r="E199" s="746">
        <v>2026</v>
      </c>
      <c r="F199" s="746">
        <v>2027</v>
      </c>
      <c r="G199" s="746">
        <v>2028</v>
      </c>
      <c r="H199" s="746">
        <v>2029</v>
      </c>
      <c r="I199" s="840"/>
    </row>
    <row r="200" spans="2:9" outlineLevel="1" x14ac:dyDescent="0.2">
      <c r="B200" s="745" t="s">
        <v>866</v>
      </c>
      <c r="D200" s="793">
        <v>85613540.869935006</v>
      </c>
      <c r="E200" s="793">
        <v>108064489.15206</v>
      </c>
      <c r="F200" s="793">
        <v>108064489.15206</v>
      </c>
      <c r="G200" s="793">
        <v>108064489.15206</v>
      </c>
      <c r="H200" s="793">
        <v>108064489.15206</v>
      </c>
    </row>
    <row r="201" spans="2:9" outlineLevel="1" x14ac:dyDescent="0.2">
      <c r="B201" s="745" t="s">
        <v>474</v>
      </c>
      <c r="D201" s="793">
        <v>104638772.17436501</v>
      </c>
      <c r="E201" s="793">
        <v>132078820.07474002</v>
      </c>
      <c r="F201" s="793">
        <v>132078820.07474002</v>
      </c>
      <c r="G201" s="793">
        <v>132078820.07474002</v>
      </c>
      <c r="H201" s="793">
        <v>132078820.07474002</v>
      </c>
    </row>
    <row r="202" spans="2:9" outlineLevel="1" x14ac:dyDescent="0.2">
      <c r="B202" s="745" t="s">
        <v>868</v>
      </c>
      <c r="D202" s="793">
        <v>0</v>
      </c>
      <c r="E202" s="793">
        <v>0</v>
      </c>
      <c r="F202" s="793">
        <v>0</v>
      </c>
      <c r="G202" s="793">
        <v>0</v>
      </c>
      <c r="H202" s="793">
        <v>0</v>
      </c>
    </row>
    <row r="203" spans="2:9" outlineLevel="1" x14ac:dyDescent="0.2">
      <c r="B203" s="745" t="s">
        <v>476</v>
      </c>
      <c r="D203" s="793">
        <v>0</v>
      </c>
      <c r="E203" s="793">
        <v>0</v>
      </c>
      <c r="F203" s="793">
        <v>0</v>
      </c>
      <c r="G203" s="793">
        <v>0</v>
      </c>
      <c r="H203" s="793">
        <v>0</v>
      </c>
    </row>
    <row r="204" spans="2:9" outlineLevel="1" x14ac:dyDescent="0.2">
      <c r="D204" s="793"/>
      <c r="E204" s="793"/>
      <c r="F204" s="793"/>
      <c r="G204" s="793"/>
      <c r="H204" s="793"/>
    </row>
    <row r="205" spans="2:9" outlineLevel="1" x14ac:dyDescent="0.2">
      <c r="B205" s="790" t="s">
        <v>479</v>
      </c>
      <c r="C205" s="746">
        <v>2024</v>
      </c>
      <c r="D205" s="746">
        <v>2025</v>
      </c>
      <c r="E205" s="746">
        <v>2026</v>
      </c>
      <c r="F205" s="746">
        <v>2027</v>
      </c>
      <c r="G205" s="746">
        <v>2028</v>
      </c>
      <c r="H205" s="746">
        <v>2029</v>
      </c>
    </row>
    <row r="206" spans="2:9" outlineLevel="1" x14ac:dyDescent="0.2">
      <c r="B206" s="745" t="s">
        <v>866</v>
      </c>
      <c r="D206" s="793">
        <v>48217869.256392002</v>
      </c>
      <c r="E206" s="793">
        <v>12609436.706398975</v>
      </c>
      <c r="F206" s="793">
        <v>0</v>
      </c>
      <c r="G206" s="793">
        <v>0</v>
      </c>
      <c r="H206" s="793">
        <v>0</v>
      </c>
    </row>
    <row r="207" spans="2:9" outlineLevel="1" x14ac:dyDescent="0.2">
      <c r="B207" s="745" t="s">
        <v>474</v>
      </c>
      <c r="D207" s="793">
        <v>58932951.313368</v>
      </c>
      <c r="E207" s="793">
        <v>15411533.752265414</v>
      </c>
      <c r="F207" s="793">
        <v>0</v>
      </c>
      <c r="G207" s="793">
        <v>0</v>
      </c>
      <c r="H207" s="793">
        <v>0</v>
      </c>
    </row>
    <row r="208" spans="2:9" outlineLevel="1" x14ac:dyDescent="0.2">
      <c r="B208" s="745" t="s">
        <v>868</v>
      </c>
      <c r="D208" s="793">
        <v>0</v>
      </c>
      <c r="E208" s="793">
        <v>0</v>
      </c>
      <c r="F208" s="793">
        <v>0</v>
      </c>
      <c r="G208" s="793">
        <v>0</v>
      </c>
      <c r="H208" s="793">
        <v>0</v>
      </c>
    </row>
    <row r="209" spans="2:8" outlineLevel="1" x14ac:dyDescent="0.2">
      <c r="B209" s="745" t="s">
        <v>476</v>
      </c>
      <c r="D209" s="793">
        <v>0</v>
      </c>
      <c r="E209" s="793">
        <v>0</v>
      </c>
      <c r="F209" s="793">
        <v>0</v>
      </c>
      <c r="G209" s="793">
        <v>0</v>
      </c>
      <c r="H209" s="793">
        <v>0</v>
      </c>
    </row>
    <row r="210" spans="2:8" outlineLevel="1" x14ac:dyDescent="0.2"/>
    <row r="211" spans="2:8" outlineLevel="1" x14ac:dyDescent="0.2">
      <c r="B211" s="790"/>
      <c r="C211" s="746"/>
      <c r="D211" s="830" t="s">
        <v>869</v>
      </c>
      <c r="E211" s="830" t="s">
        <v>870</v>
      </c>
      <c r="F211" s="830" t="s">
        <v>871</v>
      </c>
      <c r="G211" s="830" t="s">
        <v>872</v>
      </c>
      <c r="H211" s="830" t="s">
        <v>873</v>
      </c>
    </row>
    <row r="212" spans="2:8" outlineLevel="1" x14ac:dyDescent="0.2"/>
    <row r="213" spans="2:8" outlineLevel="1" x14ac:dyDescent="0.2">
      <c r="B213" s="841" t="s">
        <v>874</v>
      </c>
      <c r="C213" s="842"/>
      <c r="D213" s="842"/>
      <c r="E213" s="842"/>
      <c r="F213" s="842"/>
      <c r="G213" s="842"/>
      <c r="H213" s="842"/>
    </row>
    <row r="214" spans="2:8" outlineLevel="1" x14ac:dyDescent="0.2">
      <c r="B214" s="745" t="s">
        <v>485</v>
      </c>
      <c r="E214" s="793">
        <v>37395671.613543004</v>
      </c>
      <c r="F214" s="793">
        <v>9841511.5757260285</v>
      </c>
      <c r="G214" s="793">
        <v>0</v>
      </c>
      <c r="H214" s="793">
        <v>0</v>
      </c>
    </row>
    <row r="215" spans="2:8" outlineLevel="1" x14ac:dyDescent="0.2">
      <c r="B215" s="745" t="s">
        <v>486</v>
      </c>
      <c r="D215" s="825">
        <v>48217869.256392002</v>
      </c>
      <c r="E215" s="825">
        <v>12609436.706398975</v>
      </c>
      <c r="F215" s="825">
        <v>0</v>
      </c>
      <c r="G215" s="825">
        <v>0</v>
      </c>
      <c r="H215" s="825">
        <v>0</v>
      </c>
    </row>
    <row r="216" spans="2:8" outlineLevel="1" x14ac:dyDescent="0.2">
      <c r="B216" s="841" t="s">
        <v>487</v>
      </c>
      <c r="C216" s="842"/>
      <c r="D216" s="842"/>
      <c r="E216" s="842"/>
      <c r="F216" s="842"/>
      <c r="G216" s="842"/>
      <c r="H216" s="842"/>
    </row>
    <row r="217" spans="2:8" outlineLevel="1" x14ac:dyDescent="0.2">
      <c r="B217" s="745" t="s">
        <v>485</v>
      </c>
      <c r="E217" s="793">
        <v>45705820.860997014</v>
      </c>
      <c r="F217" s="793">
        <v>12028514.148109591</v>
      </c>
      <c r="G217" s="793">
        <v>0</v>
      </c>
      <c r="H217" s="793">
        <v>0</v>
      </c>
    </row>
    <row r="218" spans="2:8" outlineLevel="1" x14ac:dyDescent="0.2">
      <c r="B218" s="745" t="s">
        <v>486</v>
      </c>
      <c r="D218" s="825">
        <v>58932951.313368</v>
      </c>
      <c r="E218" s="825">
        <v>15411533.752265414</v>
      </c>
      <c r="F218" s="825">
        <v>0</v>
      </c>
      <c r="G218" s="825">
        <v>0</v>
      </c>
      <c r="H218" s="825">
        <v>0</v>
      </c>
    </row>
    <row r="219" spans="2:8" outlineLevel="1" x14ac:dyDescent="0.2">
      <c r="B219" s="841" t="s">
        <v>875</v>
      </c>
      <c r="C219" s="842"/>
      <c r="D219" s="842"/>
      <c r="E219" s="842"/>
      <c r="F219" s="842"/>
      <c r="G219" s="842"/>
      <c r="H219" s="842"/>
    </row>
    <row r="220" spans="2:8" outlineLevel="1" x14ac:dyDescent="0.2">
      <c r="B220" s="745" t="s">
        <v>485</v>
      </c>
      <c r="E220" s="793">
        <v>0</v>
      </c>
      <c r="F220" s="793">
        <v>0</v>
      </c>
      <c r="G220" s="793">
        <v>0</v>
      </c>
      <c r="H220" s="793">
        <v>0</v>
      </c>
    </row>
    <row r="221" spans="2:8" outlineLevel="1" x14ac:dyDescent="0.2">
      <c r="B221" s="745" t="s">
        <v>486</v>
      </c>
      <c r="D221" s="825">
        <v>0</v>
      </c>
      <c r="E221" s="825">
        <v>0</v>
      </c>
      <c r="F221" s="825">
        <v>0</v>
      </c>
      <c r="G221" s="825">
        <v>0</v>
      </c>
      <c r="H221" s="825">
        <v>0</v>
      </c>
    </row>
    <row r="222" spans="2:8" outlineLevel="1" x14ac:dyDescent="0.2">
      <c r="B222" s="841" t="s">
        <v>489</v>
      </c>
      <c r="C222" s="842"/>
      <c r="D222" s="842"/>
      <c r="E222" s="842"/>
      <c r="F222" s="842"/>
      <c r="G222" s="842"/>
      <c r="H222" s="842"/>
    </row>
    <row r="223" spans="2:8" outlineLevel="1" x14ac:dyDescent="0.2">
      <c r="B223" s="745" t="s">
        <v>485</v>
      </c>
      <c r="E223" s="793">
        <v>0</v>
      </c>
      <c r="F223" s="793">
        <v>0</v>
      </c>
      <c r="G223" s="793">
        <v>0</v>
      </c>
      <c r="H223" s="793">
        <v>0</v>
      </c>
    </row>
    <row r="224" spans="2:8" outlineLevel="1" x14ac:dyDescent="0.2">
      <c r="B224" s="745" t="s">
        <v>486</v>
      </c>
      <c r="D224" s="825">
        <v>0</v>
      </c>
      <c r="E224" s="825">
        <v>0</v>
      </c>
      <c r="F224" s="825">
        <v>0</v>
      </c>
      <c r="G224" s="825">
        <v>0</v>
      </c>
      <c r="H224" s="825">
        <v>0</v>
      </c>
    </row>
    <row r="225" spans="2:36" outlineLevel="1" x14ac:dyDescent="0.2">
      <c r="D225" s="825"/>
      <c r="E225" s="825"/>
      <c r="F225" s="825"/>
      <c r="G225" s="825"/>
      <c r="H225" s="825"/>
    </row>
    <row r="226" spans="2:36" outlineLevel="1" x14ac:dyDescent="0.2">
      <c r="B226" s="841" t="s">
        <v>874</v>
      </c>
      <c r="C226" s="842"/>
      <c r="D226" s="842"/>
      <c r="E226" s="842"/>
      <c r="F226" s="842"/>
      <c r="G226" s="842"/>
      <c r="H226" s="842"/>
    </row>
    <row r="227" spans="2:36" outlineLevel="1" x14ac:dyDescent="0.2">
      <c r="B227" s="745" t="s">
        <v>490</v>
      </c>
      <c r="D227" s="843"/>
      <c r="E227" s="844">
        <v>0.75</v>
      </c>
      <c r="F227" s="844">
        <v>0.75</v>
      </c>
      <c r="G227" s="844">
        <v>0.75</v>
      </c>
      <c r="H227" s="844">
        <v>0.75</v>
      </c>
    </row>
    <row r="228" spans="2:36" outlineLevel="1" x14ac:dyDescent="0.2">
      <c r="B228" s="745" t="s">
        <v>491</v>
      </c>
      <c r="D228" s="843"/>
      <c r="E228" s="844">
        <v>0.25</v>
      </c>
      <c r="F228" s="844">
        <v>0.25</v>
      </c>
      <c r="G228" s="844">
        <v>0.25</v>
      </c>
      <c r="H228" s="844">
        <v>0.25</v>
      </c>
    </row>
    <row r="229" spans="2:36" outlineLevel="1" x14ac:dyDescent="0.2">
      <c r="B229" s="841" t="s">
        <v>487</v>
      </c>
      <c r="C229" s="842"/>
      <c r="D229" s="842"/>
      <c r="E229" s="842"/>
      <c r="F229" s="842"/>
      <c r="G229" s="842"/>
      <c r="H229" s="842"/>
    </row>
    <row r="230" spans="2:36" outlineLevel="1" x14ac:dyDescent="0.2">
      <c r="B230" s="745" t="s">
        <v>490</v>
      </c>
      <c r="D230" s="843"/>
      <c r="E230" s="844">
        <v>0.75</v>
      </c>
      <c r="F230" s="844">
        <v>0.75</v>
      </c>
      <c r="G230" s="844">
        <v>0.75</v>
      </c>
      <c r="H230" s="844">
        <v>0.75</v>
      </c>
    </row>
    <row r="231" spans="2:36" outlineLevel="1" x14ac:dyDescent="0.2">
      <c r="B231" s="745" t="s">
        <v>491</v>
      </c>
      <c r="D231" s="843"/>
      <c r="E231" s="844">
        <v>0.25</v>
      </c>
      <c r="F231" s="844">
        <v>0.25</v>
      </c>
      <c r="G231" s="844">
        <v>0.25</v>
      </c>
      <c r="H231" s="844">
        <v>0.25</v>
      </c>
    </row>
    <row r="232" spans="2:36" outlineLevel="1" x14ac:dyDescent="0.2">
      <c r="B232" s="841" t="s">
        <v>875</v>
      </c>
      <c r="C232" s="842"/>
      <c r="D232" s="842"/>
      <c r="E232" s="845"/>
      <c r="F232" s="845"/>
      <c r="G232" s="845"/>
      <c r="H232" s="845"/>
    </row>
    <row r="233" spans="2:36" outlineLevel="1" x14ac:dyDescent="0.2">
      <c r="B233" s="745" t="s">
        <v>490</v>
      </c>
      <c r="D233" s="843"/>
      <c r="E233" s="844">
        <v>0.75</v>
      </c>
      <c r="F233" s="844">
        <v>0.75</v>
      </c>
      <c r="G233" s="844">
        <v>0.75</v>
      </c>
      <c r="H233" s="844">
        <v>0.75</v>
      </c>
    </row>
    <row r="234" spans="2:36" outlineLevel="1" x14ac:dyDescent="0.2">
      <c r="B234" s="745" t="s">
        <v>491</v>
      </c>
      <c r="D234" s="843"/>
      <c r="E234" s="844">
        <v>0.25</v>
      </c>
      <c r="F234" s="844">
        <v>0.25</v>
      </c>
      <c r="G234" s="844">
        <v>0.25</v>
      </c>
      <c r="H234" s="844">
        <v>0.25</v>
      </c>
      <c r="AH234" s="745" t="s">
        <v>40</v>
      </c>
      <c r="AI234" s="745">
        <v>2016</v>
      </c>
      <c r="AJ234" s="745" t="s">
        <v>492</v>
      </c>
    </row>
    <row r="235" spans="2:36" outlineLevel="1" x14ac:dyDescent="0.2">
      <c r="B235" s="841" t="s">
        <v>489</v>
      </c>
      <c r="C235" s="842"/>
      <c r="D235" s="842"/>
      <c r="E235" s="842"/>
      <c r="F235" s="842"/>
      <c r="G235" s="842"/>
      <c r="H235" s="842"/>
      <c r="AH235" s="745" t="s">
        <v>493</v>
      </c>
      <c r="AI235" s="846">
        <v>711286499.70743918</v>
      </c>
      <c r="AJ235" s="796">
        <v>0.87441183023896829</v>
      </c>
    </row>
    <row r="236" spans="2:36" outlineLevel="1" x14ac:dyDescent="0.2">
      <c r="B236" s="745" t="s">
        <v>490</v>
      </c>
      <c r="D236" s="843"/>
      <c r="E236" s="844">
        <v>0.75</v>
      </c>
      <c r="F236" s="844">
        <v>0.75</v>
      </c>
      <c r="G236" s="844">
        <v>0.75</v>
      </c>
      <c r="H236" s="844">
        <v>0.75</v>
      </c>
      <c r="AH236" s="745" t="s">
        <v>494</v>
      </c>
      <c r="AI236" s="846">
        <v>102159150.3966445</v>
      </c>
      <c r="AJ236" s="796">
        <v>0.12558816976103176</v>
      </c>
    </row>
    <row r="237" spans="2:36" outlineLevel="1" x14ac:dyDescent="0.2">
      <c r="B237" s="745" t="s">
        <v>491</v>
      </c>
      <c r="D237" s="843"/>
      <c r="E237" s="844">
        <v>0.25</v>
      </c>
      <c r="F237" s="844">
        <v>0.25</v>
      </c>
      <c r="G237" s="844">
        <v>0.25</v>
      </c>
      <c r="H237" s="844">
        <v>0.25</v>
      </c>
      <c r="AH237" s="745" t="s">
        <v>360</v>
      </c>
      <c r="AI237" s="846">
        <v>813445650.10408366</v>
      </c>
    </row>
    <row r="238" spans="2:36" outlineLevel="1" x14ac:dyDescent="0.2">
      <c r="D238" s="843"/>
      <c r="E238" s="843"/>
      <c r="F238" s="843"/>
      <c r="G238" s="843"/>
      <c r="H238" s="843"/>
    </row>
    <row r="239" spans="2:36" outlineLevel="1" x14ac:dyDescent="0.2">
      <c r="B239" s="847" t="s">
        <v>876</v>
      </c>
      <c r="C239" s="847"/>
      <c r="D239" s="848"/>
      <c r="E239" s="849">
        <v>31199112.886756998</v>
      </c>
      <c r="F239" s="849">
        <v>7381133.6817945214</v>
      </c>
      <c r="G239" s="849">
        <v>0</v>
      </c>
      <c r="H239" s="849">
        <v>0</v>
      </c>
    </row>
    <row r="240" spans="2:36" outlineLevel="1" x14ac:dyDescent="0.2">
      <c r="B240" s="847" t="s">
        <v>496</v>
      </c>
      <c r="C240" s="847"/>
      <c r="D240" s="848"/>
      <c r="E240" s="849">
        <v>38132249.083814114</v>
      </c>
      <c r="F240" s="849">
        <v>9021385.6110821925</v>
      </c>
      <c r="G240" s="849">
        <v>0</v>
      </c>
      <c r="H240" s="849">
        <v>0</v>
      </c>
    </row>
    <row r="242" spans="2:8" s="747" customFormat="1" hidden="1" outlineLevel="1" x14ac:dyDescent="0.2">
      <c r="B242" s="746" t="s">
        <v>497</v>
      </c>
    </row>
    <row r="243" spans="2:8" hidden="1" outlineLevel="1" x14ac:dyDescent="0.2"/>
    <row r="244" spans="2:8" hidden="1" outlineLevel="1" x14ac:dyDescent="0.2">
      <c r="B244" s="790"/>
      <c r="C244" s="746">
        <v>2016</v>
      </c>
      <c r="D244" s="746">
        <v>2017</v>
      </c>
      <c r="E244" s="746">
        <v>2018</v>
      </c>
      <c r="F244" s="746">
        <v>2019</v>
      </c>
      <c r="G244" s="746">
        <v>2020</v>
      </c>
      <c r="H244" s="746">
        <v>2021</v>
      </c>
    </row>
    <row r="245" spans="2:8" hidden="1" outlineLevel="1" x14ac:dyDescent="0.2">
      <c r="B245" s="745" t="s">
        <v>431</v>
      </c>
      <c r="C245" s="850">
        <v>3.5000000000000003E-2</v>
      </c>
      <c r="D245" s="851">
        <v>3.5000000000000003E-2</v>
      </c>
      <c r="E245" s="851">
        <v>3.5000000000000003E-2</v>
      </c>
      <c r="F245" s="851">
        <v>3.5000000000000003E-2</v>
      </c>
      <c r="G245" s="851">
        <v>3.5000000000000003E-2</v>
      </c>
      <c r="H245" s="851">
        <v>3.5000000000000003E-2</v>
      </c>
    </row>
    <row r="246" spans="2:8" hidden="1" outlineLevel="1" x14ac:dyDescent="0.2">
      <c r="B246" s="745" t="s">
        <v>433</v>
      </c>
      <c r="C246" s="850">
        <v>3.5000000000000003E-2</v>
      </c>
      <c r="D246" s="851">
        <v>3.5000000000000003E-2</v>
      </c>
      <c r="E246" s="851">
        <v>3.5000000000000003E-2</v>
      </c>
      <c r="F246" s="851">
        <v>3.5000000000000003E-2</v>
      </c>
      <c r="G246" s="851">
        <v>3.5000000000000003E-2</v>
      </c>
      <c r="H246" s="851">
        <v>3.5000000000000003E-2</v>
      </c>
    </row>
    <row r="247" spans="2:8" hidden="1" outlineLevel="1" x14ac:dyDescent="0.2">
      <c r="B247" s="745" t="s">
        <v>420</v>
      </c>
      <c r="C247" s="793"/>
      <c r="D247" s="793">
        <v>0</v>
      </c>
      <c r="E247" s="793">
        <v>0</v>
      </c>
      <c r="F247" s="793">
        <v>0</v>
      </c>
      <c r="G247" s="793">
        <v>0</v>
      </c>
      <c r="H247" s="793">
        <v>0</v>
      </c>
    </row>
    <row r="248" spans="2:8" hidden="1" outlineLevel="1" x14ac:dyDescent="0.2">
      <c r="B248" s="745" t="s">
        <v>421</v>
      </c>
      <c r="C248" s="793"/>
      <c r="D248" s="793">
        <v>0</v>
      </c>
      <c r="E248" s="793">
        <v>0</v>
      </c>
      <c r="F248" s="793">
        <v>0</v>
      </c>
      <c r="G248" s="793">
        <v>0</v>
      </c>
      <c r="H248" s="793">
        <v>0</v>
      </c>
    </row>
    <row r="249" spans="2:8" hidden="1" outlineLevel="1" x14ac:dyDescent="0.2">
      <c r="B249" s="745" t="s">
        <v>422</v>
      </c>
      <c r="C249" s="793"/>
      <c r="D249" s="793">
        <v>0</v>
      </c>
      <c r="E249" s="793">
        <v>0</v>
      </c>
      <c r="F249" s="793">
        <v>0</v>
      </c>
      <c r="G249" s="793">
        <v>0</v>
      </c>
      <c r="H249" s="793">
        <v>0</v>
      </c>
    </row>
    <row r="250" spans="2:8" hidden="1" outlineLevel="1" x14ac:dyDescent="0.2">
      <c r="B250" s="745" t="s">
        <v>434</v>
      </c>
      <c r="C250" s="793"/>
      <c r="D250" s="793"/>
      <c r="E250" s="793"/>
      <c r="F250" s="793"/>
      <c r="G250" s="793"/>
      <c r="H250" s="793"/>
    </row>
    <row r="251" spans="2:8" hidden="1" outlineLevel="1" x14ac:dyDescent="0.2">
      <c r="B251" s="745" t="s">
        <v>423</v>
      </c>
      <c r="C251" s="795">
        <v>0</v>
      </c>
      <c r="D251" s="837">
        <v>0</v>
      </c>
      <c r="E251" s="837">
        <v>0</v>
      </c>
      <c r="F251" s="837">
        <v>0</v>
      </c>
      <c r="G251" s="837">
        <v>0</v>
      </c>
      <c r="H251" s="837">
        <v>0</v>
      </c>
    </row>
    <row r="252" spans="2:8" hidden="1" outlineLevel="1" x14ac:dyDescent="0.2">
      <c r="B252" s="745" t="s">
        <v>424</v>
      </c>
      <c r="C252" s="795">
        <v>0</v>
      </c>
      <c r="D252" s="793">
        <v>0</v>
      </c>
      <c r="E252" s="793">
        <v>0</v>
      </c>
      <c r="F252" s="793">
        <v>0</v>
      </c>
      <c r="G252" s="793">
        <v>0</v>
      </c>
      <c r="H252" s="793">
        <v>0</v>
      </c>
    </row>
    <row r="253" spans="2:8" hidden="1" outlineLevel="1" x14ac:dyDescent="0.2">
      <c r="B253" s="745" t="s">
        <v>425</v>
      </c>
      <c r="C253" s="795">
        <v>0</v>
      </c>
      <c r="D253" s="793">
        <v>0</v>
      </c>
      <c r="E253" s="793">
        <v>0</v>
      </c>
      <c r="F253" s="793">
        <v>0</v>
      </c>
      <c r="G253" s="793">
        <v>0</v>
      </c>
      <c r="H253" s="793">
        <v>0</v>
      </c>
    </row>
    <row r="254" spans="2:8" hidden="1" outlineLevel="1" x14ac:dyDescent="0.2">
      <c r="B254" s="745" t="s">
        <v>426</v>
      </c>
      <c r="C254" s="793">
        <v>0</v>
      </c>
      <c r="D254" s="793">
        <v>0</v>
      </c>
      <c r="E254" s="793">
        <v>0</v>
      </c>
      <c r="F254" s="793">
        <v>0</v>
      </c>
      <c r="G254" s="793">
        <v>0</v>
      </c>
      <c r="H254" s="793">
        <v>0</v>
      </c>
    </row>
    <row r="255" spans="2:8" collapsed="1" x14ac:dyDescent="0.2"/>
    <row r="256" spans="2:8" x14ac:dyDescent="0.2">
      <c r="B256" s="833" t="s">
        <v>498</v>
      </c>
      <c r="C256" s="746">
        <v>2024</v>
      </c>
      <c r="D256" s="746">
        <v>2025</v>
      </c>
      <c r="E256" s="746">
        <v>2026</v>
      </c>
      <c r="F256" s="746">
        <v>2027</v>
      </c>
      <c r="G256" s="746">
        <v>2028</v>
      </c>
      <c r="H256" s="746">
        <v>2029</v>
      </c>
    </row>
    <row r="258" spans="2:8" x14ac:dyDescent="0.2">
      <c r="B258" s="745" t="s">
        <v>499</v>
      </c>
      <c r="C258" s="793">
        <v>1446320397.7240605</v>
      </c>
      <c r="D258" s="793">
        <v>1446320397.7240605</v>
      </c>
      <c r="E258" s="793">
        <v>1446320397.7240605</v>
      </c>
      <c r="F258" s="793">
        <v>1446320397.7240605</v>
      </c>
      <c r="G258" s="793">
        <v>1446320397.7240605</v>
      </c>
      <c r="H258" s="793">
        <v>1446320397.7240605</v>
      </c>
    </row>
    <row r="259" spans="2:8" x14ac:dyDescent="0.2">
      <c r="B259" s="745" t="s">
        <v>500</v>
      </c>
      <c r="C259" s="793">
        <v>39882891.287407562</v>
      </c>
      <c r="D259" s="793">
        <v>39882891.287407562</v>
      </c>
      <c r="E259" s="793">
        <v>39882891.287407562</v>
      </c>
      <c r="F259" s="793">
        <v>39882891.287407562</v>
      </c>
      <c r="G259" s="793">
        <v>39882891.287407562</v>
      </c>
      <c r="H259" s="793">
        <v>39882891.287407562</v>
      </c>
    </row>
    <row r="260" spans="2:8" x14ac:dyDescent="0.2">
      <c r="B260" s="745" t="s">
        <v>501</v>
      </c>
      <c r="C260" s="793">
        <v>54325185.275112584</v>
      </c>
      <c r="D260" s="793">
        <v>54325185.275112584</v>
      </c>
      <c r="E260" s="793">
        <v>54325185.275112584</v>
      </c>
      <c r="F260" s="793">
        <v>54325185.275112584</v>
      </c>
      <c r="G260" s="793">
        <v>54325185.275112584</v>
      </c>
      <c r="H260" s="793">
        <v>54325185.275112584</v>
      </c>
    </row>
    <row r="261" spans="2:8" x14ac:dyDescent="0.2">
      <c r="B261" s="852" t="s">
        <v>502</v>
      </c>
      <c r="C261" s="853">
        <v>1540528474.2865808</v>
      </c>
      <c r="D261" s="853">
        <v>1540528474.2865808</v>
      </c>
      <c r="E261" s="853">
        <v>1540528474.2865808</v>
      </c>
      <c r="F261" s="853">
        <v>1540528474.2865808</v>
      </c>
      <c r="G261" s="853">
        <v>1540528474.2865808</v>
      </c>
      <c r="H261" s="853">
        <v>1540528474.2865808</v>
      </c>
    </row>
    <row r="262" spans="2:8" hidden="1" x14ac:dyDescent="0.2">
      <c r="B262" s="745" t="s">
        <v>503</v>
      </c>
      <c r="C262" s="793"/>
      <c r="D262" s="793"/>
      <c r="E262" s="793"/>
      <c r="F262" s="793"/>
      <c r="G262" s="793"/>
      <c r="H262" s="793">
        <v>190252313.04430002</v>
      </c>
    </row>
    <row r="263" spans="2:8" x14ac:dyDescent="0.2">
      <c r="B263" s="745" t="s">
        <v>504</v>
      </c>
      <c r="C263" s="793">
        <v>204700889.83535424</v>
      </c>
      <c r="D263" s="793">
        <v>217388788.27535424</v>
      </c>
      <c r="E263" s="793">
        <v>217388788.27535424</v>
      </c>
      <c r="F263" s="793">
        <v>222517844.27535424</v>
      </c>
      <c r="G263" s="793">
        <v>222517844.27535424</v>
      </c>
      <c r="H263" s="793">
        <v>222517844.27535424</v>
      </c>
    </row>
    <row r="264" spans="2:8" x14ac:dyDescent="0.2">
      <c r="B264" s="854" t="s">
        <v>1</v>
      </c>
      <c r="C264" s="855">
        <v>1745229364.1219351</v>
      </c>
      <c r="D264" s="855">
        <v>1757917262.5619349</v>
      </c>
      <c r="E264" s="855">
        <v>1757917262.5619349</v>
      </c>
      <c r="F264" s="855">
        <v>1763046318.5619349</v>
      </c>
      <c r="G264" s="855">
        <v>1763046318.5619349</v>
      </c>
      <c r="H264" s="855">
        <v>1953298631.606235</v>
      </c>
    </row>
    <row r="266" spans="2:8" s="747" customFormat="1" x14ac:dyDescent="0.2">
      <c r="B266" s="746" t="s">
        <v>505</v>
      </c>
    </row>
    <row r="267" spans="2:8" ht="15.75" x14ac:dyDescent="0.25">
      <c r="B267" s="856"/>
      <c r="C267" s="748"/>
      <c r="D267" s="748"/>
      <c r="E267" s="748"/>
      <c r="F267" s="748"/>
    </row>
    <row r="268" spans="2:8" ht="15" x14ac:dyDescent="0.25">
      <c r="B268" s="857" t="s">
        <v>506</v>
      </c>
      <c r="C268" s="831" t="s">
        <v>507</v>
      </c>
      <c r="D268" s="825">
        <v>17171925</v>
      </c>
      <c r="E268" s="748"/>
      <c r="F268" s="748"/>
      <c r="G268" s="748"/>
      <c r="H268" s="748"/>
    </row>
    <row r="269" spans="2:8" ht="15" x14ac:dyDescent="0.25">
      <c r="B269" s="857" t="s">
        <v>508</v>
      </c>
      <c r="C269" s="831" t="s">
        <v>509</v>
      </c>
      <c r="D269" s="858">
        <v>1.4096714697685955</v>
      </c>
      <c r="E269" s="748"/>
      <c r="F269" s="748"/>
      <c r="G269" s="748"/>
      <c r="H269" s="755"/>
    </row>
    <row r="270" spans="2:8" ht="15" x14ac:dyDescent="0.25">
      <c r="B270" s="857" t="s">
        <v>510</v>
      </c>
      <c r="C270" s="831" t="s">
        <v>507</v>
      </c>
      <c r="D270" s="825">
        <v>24206772.75350609</v>
      </c>
      <c r="E270" s="748"/>
      <c r="F270" s="859"/>
      <c r="G270" s="748"/>
      <c r="H270" s="755"/>
    </row>
    <row r="271" spans="2:8" ht="15" x14ac:dyDescent="0.25">
      <c r="B271" s="857" t="s">
        <v>511</v>
      </c>
      <c r="C271" s="860" t="s">
        <v>18</v>
      </c>
      <c r="D271" s="861">
        <v>0.1</v>
      </c>
      <c r="E271" s="859"/>
      <c r="F271" s="859"/>
      <c r="G271" s="748"/>
      <c r="H271" s="755"/>
    </row>
    <row r="272" spans="2:8" ht="15" x14ac:dyDescent="0.25">
      <c r="F272" s="748"/>
      <c r="G272" s="748"/>
      <c r="H272" s="748"/>
    </row>
    <row r="273" spans="2:8" x14ac:dyDescent="0.2">
      <c r="B273" s="833" t="s">
        <v>512</v>
      </c>
      <c r="C273" s="746">
        <v>2024</v>
      </c>
      <c r="D273" s="746">
        <v>2025</v>
      </c>
      <c r="E273" s="746">
        <v>2026</v>
      </c>
      <c r="F273" s="746">
        <v>2027</v>
      </c>
      <c r="G273" s="746">
        <v>2028</v>
      </c>
      <c r="H273" s="746">
        <v>2029</v>
      </c>
    </row>
    <row r="274" spans="2:8" x14ac:dyDescent="0.2">
      <c r="B274" s="788" t="s">
        <v>513</v>
      </c>
      <c r="C274" s="825">
        <v>1043170130.072194</v>
      </c>
      <c r="D274" s="825">
        <v>1043170130.072194</v>
      </c>
      <c r="E274" s="825">
        <v>1043170130.072194</v>
      </c>
      <c r="F274" s="825">
        <v>1043170130.072194</v>
      </c>
      <c r="G274" s="825">
        <v>1043170130.072194</v>
      </c>
      <c r="H274" s="825">
        <v>1043170130.072194</v>
      </c>
    </row>
    <row r="275" spans="2:8" x14ac:dyDescent="0.2">
      <c r="B275" s="788" t="s">
        <v>514</v>
      </c>
      <c r="C275" s="793">
        <v>28765853.649999999</v>
      </c>
      <c r="D275" s="793">
        <v>28765853.649999999</v>
      </c>
      <c r="E275" s="793">
        <v>28765853.649999999</v>
      </c>
      <c r="F275" s="793">
        <v>28765853.649999999</v>
      </c>
      <c r="G275" s="793">
        <v>28765853.649999999</v>
      </c>
      <c r="H275" s="793">
        <v>28765853.649999999</v>
      </c>
    </row>
    <row r="276" spans="2:8" x14ac:dyDescent="0.2">
      <c r="B276" s="788" t="s">
        <v>515</v>
      </c>
      <c r="C276" s="862">
        <v>2.7575419215664487E-2</v>
      </c>
      <c r="D276" s="862">
        <v>2.7575419215664487E-2</v>
      </c>
      <c r="E276" s="863">
        <v>2.7575419215664487E-2</v>
      </c>
      <c r="F276" s="862">
        <v>2.7575419215664487E-2</v>
      </c>
      <c r="G276" s="862">
        <v>2.7575419215664487E-2</v>
      </c>
      <c r="H276" s="862">
        <v>2.7575419215664487E-2</v>
      </c>
    </row>
    <row r="277" spans="2:8" x14ac:dyDescent="0.2">
      <c r="B277" s="788" t="s">
        <v>516</v>
      </c>
      <c r="C277" s="793">
        <v>104317013.0072194</v>
      </c>
      <c r="D277" s="793">
        <v>104317013.0072194</v>
      </c>
      <c r="E277" s="793">
        <v>104317013.0072194</v>
      </c>
      <c r="F277" s="793">
        <v>104317013.0072194</v>
      </c>
      <c r="G277" s="793">
        <v>104317013.0072194</v>
      </c>
      <c r="H277" s="793">
        <v>104317013.0072194</v>
      </c>
    </row>
    <row r="278" spans="2:8" x14ac:dyDescent="0.2">
      <c r="B278" s="788" t="s">
        <v>517</v>
      </c>
      <c r="C278" s="793">
        <v>45937778.649999999</v>
      </c>
      <c r="D278" s="793">
        <v>45937778.649999999</v>
      </c>
      <c r="E278" s="793">
        <v>45937778.649999999</v>
      </c>
      <c r="F278" s="793">
        <v>45937778.649999999</v>
      </c>
      <c r="G278" s="793">
        <v>45937778.649999999</v>
      </c>
      <c r="H278" s="793">
        <v>45937778.649999999</v>
      </c>
    </row>
    <row r="279" spans="2:8" x14ac:dyDescent="0.2">
      <c r="B279" s="788" t="s">
        <v>518</v>
      </c>
      <c r="C279" s="862">
        <v>2.7575419215664487E-2</v>
      </c>
      <c r="D279" s="862">
        <v>2.7575419215664487E-2</v>
      </c>
      <c r="E279" s="862">
        <v>2.7575419215664487E-2</v>
      </c>
      <c r="F279" s="862">
        <v>2.7575419215664487E-2</v>
      </c>
      <c r="G279" s="862">
        <v>2.7575419215664487E-2</v>
      </c>
      <c r="H279" s="862">
        <v>2.7575419215664487E-2</v>
      </c>
    </row>
    <row r="280" spans="2:8" x14ac:dyDescent="0.2">
      <c r="E280" s="826"/>
    </row>
  </sheetData>
  <pageMargins left="0.7" right="0.7" top="0.75" bottom="0.75" header="0.3" footer="0.3"/>
  <pageSetup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8" tint="-0.249977111117893"/>
  </sheetPr>
  <dimension ref="A1:V97"/>
  <sheetViews>
    <sheetView showGridLines="0" topLeftCell="A31" zoomScale="70" zoomScaleNormal="70" workbookViewId="0">
      <selection activeCell="C96" sqref="C96"/>
    </sheetView>
  </sheetViews>
  <sheetFormatPr baseColWidth="10" defaultColWidth="11.42578125" defaultRowHeight="15" x14ac:dyDescent="0.25"/>
  <cols>
    <col min="1" max="1" width="3.7109375" style="192" customWidth="1" collapsed="1"/>
    <col min="2" max="2" width="28.7109375" style="192" customWidth="1" collapsed="1"/>
    <col min="3" max="8" width="24.7109375" style="192" customWidth="1" collapsed="1"/>
    <col min="9" max="9" width="24.7109375" style="192" customWidth="1"/>
    <col min="10" max="10" width="11.42578125" style="192"/>
    <col min="11" max="11" width="37.42578125" style="192" bestFit="1" customWidth="1" collapsed="1"/>
    <col min="12" max="12" width="14" style="192" customWidth="1" collapsed="1"/>
    <col min="13" max="13" width="29.28515625" style="192" bestFit="1" customWidth="1" collapsed="1"/>
    <col min="14" max="16" width="14" style="192" customWidth="1" collapsed="1"/>
    <col min="17" max="17" width="22.28515625" style="192" customWidth="1" collapsed="1"/>
    <col min="18" max="18" width="16.42578125" style="192" customWidth="1" collapsed="1"/>
    <col min="19" max="19" width="14" style="192" customWidth="1" collapsed="1"/>
    <col min="20" max="21" width="11.42578125" style="192"/>
    <col min="22" max="22" width="20" style="192" customWidth="1"/>
    <col min="23" max="16384" width="11.42578125" style="192"/>
  </cols>
  <sheetData>
    <row r="1" spans="2:19" s="189" customFormat="1" ht="12.75" hidden="1" x14ac:dyDescent="0.2"/>
    <row r="2" spans="2:19" s="189" customFormat="1" ht="12.75" hidden="1" x14ac:dyDescent="0.2"/>
    <row r="3" spans="2:19" s="189" customFormat="1" ht="12.75" hidden="1" x14ac:dyDescent="0.2"/>
    <row r="4" spans="2:19" s="189" customFormat="1" ht="12.75" hidden="1" x14ac:dyDescent="0.2"/>
    <row r="5" spans="2:19" s="189" customFormat="1" ht="12.75" hidden="1" x14ac:dyDescent="0.2"/>
    <row r="6" spans="2:19" s="191" customFormat="1" ht="12.75" x14ac:dyDescent="0.2">
      <c r="B6" s="190" t="s">
        <v>145</v>
      </c>
    </row>
    <row r="7" spans="2:19" x14ac:dyDescent="0.25">
      <c r="Q7" s="193"/>
      <c r="R7" s="193"/>
      <c r="S7" s="193"/>
    </row>
    <row r="8" spans="2:19" x14ac:dyDescent="0.25">
      <c r="B8" s="194" t="s">
        <v>146</v>
      </c>
      <c r="Q8" s="193"/>
      <c r="R8" s="193"/>
      <c r="S8" s="193"/>
    </row>
    <row r="9" spans="2:19" x14ac:dyDescent="0.25">
      <c r="B9" s="192" t="s">
        <v>147</v>
      </c>
      <c r="Q9" s="193"/>
      <c r="R9" s="193"/>
      <c r="S9" s="193"/>
    </row>
    <row r="10" spans="2:19" x14ac:dyDescent="0.25">
      <c r="B10" s="192" t="s">
        <v>148</v>
      </c>
      <c r="Q10" s="193"/>
      <c r="R10" s="193"/>
      <c r="S10" s="193"/>
    </row>
    <row r="11" spans="2:19" x14ac:dyDescent="0.25">
      <c r="B11" s="192" t="s">
        <v>149</v>
      </c>
      <c r="Q11" s="193"/>
      <c r="R11" s="193"/>
      <c r="S11" s="193"/>
    </row>
    <row r="12" spans="2:19" x14ac:dyDescent="0.25">
      <c r="Q12" s="1809" t="s">
        <v>40</v>
      </c>
      <c r="R12" s="1809"/>
      <c r="S12" s="193"/>
    </row>
    <row r="13" spans="2:19" ht="41.25" customHeight="1" thickBot="1" x14ac:dyDescent="0.3">
      <c r="B13" s="195" t="s">
        <v>150</v>
      </c>
      <c r="C13" s="196" t="s">
        <v>151</v>
      </c>
      <c r="D13" s="196" t="s">
        <v>152</v>
      </c>
      <c r="E13" s="195" t="s">
        <v>153</v>
      </c>
      <c r="F13" s="195" t="s">
        <v>154</v>
      </c>
      <c r="G13" s="196" t="s">
        <v>155</v>
      </c>
      <c r="K13" s="197"/>
      <c r="L13" s="197"/>
      <c r="M13" s="197"/>
      <c r="N13" s="195" t="s">
        <v>156</v>
      </c>
      <c r="O13" s="195" t="s">
        <v>157</v>
      </c>
      <c r="P13" s="195" t="s">
        <v>158</v>
      </c>
      <c r="Q13" s="195" t="s">
        <v>159</v>
      </c>
      <c r="R13" s="195" t="s">
        <v>160</v>
      </c>
      <c r="S13" s="195" t="s">
        <v>161</v>
      </c>
    </row>
    <row r="14" spans="2:19" ht="18.75" x14ac:dyDescent="0.3">
      <c r="B14" s="198" t="s">
        <v>162</v>
      </c>
      <c r="C14" s="199">
        <v>37405464.083826393</v>
      </c>
      <c r="D14" s="199">
        <v>13588617.723184085</v>
      </c>
      <c r="E14" s="199">
        <v>68616925.537850052</v>
      </c>
      <c r="F14" s="212">
        <v>50994081.807010479</v>
      </c>
      <c r="G14" s="255">
        <f>(-E14+F14)/E14</f>
        <v>-0.25682939876282518</v>
      </c>
      <c r="H14" s="254"/>
      <c r="I14" s="254"/>
      <c r="K14" s="171"/>
      <c r="L14" s="172" t="s">
        <v>163</v>
      </c>
      <c r="M14" s="173" t="s">
        <v>164</v>
      </c>
      <c r="N14" s="172">
        <v>1976</v>
      </c>
      <c r="O14" s="174">
        <v>68.14</v>
      </c>
      <c r="P14" s="174">
        <v>69.14</v>
      </c>
      <c r="Q14" s="1810">
        <v>20178991.507402539</v>
      </c>
      <c r="R14" s="1810">
        <v>19615932.974096179</v>
      </c>
      <c r="S14" s="1811">
        <v>-2.7903204830618256E-2</v>
      </c>
    </row>
    <row r="15" spans="2:19" ht="18.75" x14ac:dyDescent="0.3">
      <c r="B15" s="198" t="s">
        <v>165</v>
      </c>
      <c r="C15" s="199">
        <v>41362073.788588807</v>
      </c>
      <c r="D15" s="199">
        <v>20315255.794709723</v>
      </c>
      <c r="E15" s="199">
        <v>74612244.638079613</v>
      </c>
      <c r="F15" s="213">
        <v>61677329.583298534</v>
      </c>
      <c r="G15" s="255">
        <f>(-E15+F15)/E15</f>
        <v>-0.1733618271039058</v>
      </c>
      <c r="H15" s="254"/>
      <c r="I15" s="254"/>
      <c r="K15" s="171"/>
      <c r="L15" s="172" t="s">
        <v>166</v>
      </c>
      <c r="M15" s="173" t="s">
        <v>167</v>
      </c>
      <c r="N15" s="172">
        <v>1976</v>
      </c>
      <c r="O15" s="174">
        <v>19</v>
      </c>
      <c r="P15" s="174">
        <v>19</v>
      </c>
      <c r="Q15" s="1810"/>
      <c r="R15" s="1810"/>
      <c r="S15" s="1811"/>
    </row>
    <row r="16" spans="2:19" ht="18.75" x14ac:dyDescent="0.3">
      <c r="B16" s="198" t="s">
        <v>29</v>
      </c>
      <c r="C16" s="199">
        <v>22532435.594892804</v>
      </c>
      <c r="D16" s="200"/>
      <c r="E16" s="199">
        <v>33232565.1076928</v>
      </c>
      <c r="F16" s="213">
        <v>22532435.594892804</v>
      </c>
      <c r="G16" s="255">
        <f t="shared" ref="G16:G30" si="0">(-E16+F16)/E16</f>
        <v>-0.32197723763198438</v>
      </c>
      <c r="H16" s="254"/>
      <c r="I16" s="254"/>
      <c r="K16" s="171"/>
      <c r="L16" s="172" t="s">
        <v>168</v>
      </c>
      <c r="M16" s="173" t="s">
        <v>169</v>
      </c>
      <c r="N16" s="172">
        <v>1976</v>
      </c>
      <c r="O16" s="174">
        <v>59.04</v>
      </c>
      <c r="P16" s="174">
        <v>59.04</v>
      </c>
      <c r="Q16" s="1810"/>
      <c r="R16" s="1810"/>
      <c r="S16" s="1811"/>
    </row>
    <row r="17" spans="2:22" ht="18.75" x14ac:dyDescent="0.3">
      <c r="B17" s="198" t="s">
        <v>170</v>
      </c>
      <c r="C17" s="199">
        <v>13108354.8064976</v>
      </c>
      <c r="D17" s="200"/>
      <c r="E17" s="199">
        <v>16497052.810097599</v>
      </c>
      <c r="F17" s="213">
        <v>13108354.8064976</v>
      </c>
      <c r="G17" s="255">
        <f t="shared" si="0"/>
        <v>-0.20541232683245264</v>
      </c>
      <c r="H17" s="254"/>
      <c r="I17" s="254"/>
      <c r="K17" s="175"/>
      <c r="L17" s="176" t="s">
        <v>171</v>
      </c>
      <c r="M17" s="177" t="s">
        <v>172</v>
      </c>
      <c r="N17" s="176">
        <v>1976</v>
      </c>
      <c r="O17" s="176">
        <v>12.94</v>
      </c>
      <c r="P17" s="176">
        <v>25.88</v>
      </c>
      <c r="Q17" s="201">
        <v>4078818.6468673046</v>
      </c>
      <c r="R17" s="201">
        <v>4485637.8776653893</v>
      </c>
      <c r="S17" s="202">
        <v>9.973947508319303E-2</v>
      </c>
    </row>
    <row r="18" spans="2:22" ht="18.75" x14ac:dyDescent="0.3">
      <c r="B18" s="198" t="s">
        <v>30</v>
      </c>
      <c r="C18" s="199">
        <v>44731071.6358376</v>
      </c>
      <c r="D18" s="200"/>
      <c r="E18" s="199">
        <v>61592028.894437604</v>
      </c>
      <c r="F18" s="213">
        <v>44731071.6358376</v>
      </c>
      <c r="G18" s="255">
        <f t="shared" si="0"/>
        <v>-0.27375226244775847</v>
      </c>
      <c r="H18" s="254"/>
      <c r="I18" s="254"/>
      <c r="K18" s="178"/>
      <c r="L18" s="176" t="s">
        <v>173</v>
      </c>
      <c r="M18" s="177" t="s">
        <v>174</v>
      </c>
      <c r="N18" s="176">
        <v>1978</v>
      </c>
      <c r="O18" s="176">
        <v>40.299999999999997</v>
      </c>
      <c r="P18" s="176">
        <v>80.599999999999994</v>
      </c>
      <c r="Q18" s="201">
        <v>10632028.461915571</v>
      </c>
      <c r="R18" s="201">
        <v>11501137.176232608</v>
      </c>
      <c r="S18" s="202">
        <v>8.1744393125942505E-2</v>
      </c>
    </row>
    <row r="19" spans="2:22" ht="18.75" x14ac:dyDescent="0.3">
      <c r="B19" s="198" t="s">
        <v>175</v>
      </c>
      <c r="C19" s="199">
        <v>31203756.334541604</v>
      </c>
      <c r="D19" s="200"/>
      <c r="E19" s="199">
        <v>43112748.029141612</v>
      </c>
      <c r="F19" s="213">
        <v>31203756.334541604</v>
      </c>
      <c r="G19" s="255">
        <f t="shared" si="0"/>
        <v>-0.27622900972469328</v>
      </c>
      <c r="H19" s="254"/>
      <c r="I19" s="254"/>
      <c r="K19" s="178"/>
      <c r="L19" s="176" t="s">
        <v>176</v>
      </c>
      <c r="M19" s="177" t="s">
        <v>177</v>
      </c>
      <c r="N19" s="176">
        <v>1978</v>
      </c>
      <c r="O19" s="179">
        <v>142.05000000000001</v>
      </c>
      <c r="P19" s="179">
        <v>284.10000000000002</v>
      </c>
      <c r="Q19" s="201">
        <v>38763285.30768653</v>
      </c>
      <c r="R19" s="201">
        <v>40539368.136075482</v>
      </c>
      <c r="S19" s="202">
        <v>4.581868678805634E-2</v>
      </c>
    </row>
    <row r="20" spans="2:22" ht="18.75" x14ac:dyDescent="0.3">
      <c r="B20" s="198" t="s">
        <v>178</v>
      </c>
      <c r="C20" s="199">
        <v>10007215.353196798</v>
      </c>
      <c r="D20" s="200"/>
      <c r="E20" s="199">
        <v>14590210.933996798</v>
      </c>
      <c r="F20" s="213">
        <v>10007215.353196798</v>
      </c>
      <c r="G20" s="255">
        <f t="shared" si="0"/>
        <v>-0.31411441558539199</v>
      </c>
      <c r="H20" s="254"/>
      <c r="I20" s="254"/>
      <c r="K20" s="178" t="s">
        <v>179</v>
      </c>
      <c r="L20" s="176" t="s">
        <v>180</v>
      </c>
      <c r="M20" s="177" t="s">
        <v>181</v>
      </c>
      <c r="N20" s="176">
        <v>1978</v>
      </c>
      <c r="O20" s="180">
        <v>110.21</v>
      </c>
      <c r="P20" s="176">
        <v>220.42</v>
      </c>
      <c r="Q20" s="201">
        <v>28995449.928444628</v>
      </c>
      <c r="R20" s="201">
        <v>31452613.602793947</v>
      </c>
      <c r="S20" s="202">
        <v>8.4743077979929415E-2</v>
      </c>
    </row>
    <row r="21" spans="2:22" ht="18.75" x14ac:dyDescent="0.3">
      <c r="B21" s="198" t="s">
        <v>182</v>
      </c>
      <c r="C21" s="199">
        <v>27734857.365010396</v>
      </c>
      <c r="D21" s="199">
        <v>4656542.4821562013</v>
      </c>
      <c r="E21" s="199">
        <v>40191969.881577902</v>
      </c>
      <c r="F21" s="213">
        <v>32391399.847166598</v>
      </c>
      <c r="G21" s="255">
        <f t="shared" si="0"/>
        <v>-0.19408279955909094</v>
      </c>
      <c r="H21" s="254"/>
      <c r="I21" s="254"/>
      <c r="K21" s="178" t="s">
        <v>183</v>
      </c>
      <c r="L21" s="176" t="s">
        <v>184</v>
      </c>
      <c r="M21" s="177" t="s">
        <v>185</v>
      </c>
      <c r="N21" s="176">
        <v>1979</v>
      </c>
      <c r="O21" s="176">
        <v>84.49</v>
      </c>
      <c r="P21" s="176">
        <v>168.98</v>
      </c>
      <c r="Q21" s="201">
        <v>23033335.506339651</v>
      </c>
      <c r="R21" s="201">
        <v>24112433.747391887</v>
      </c>
      <c r="S21" s="202">
        <v>4.6849412702525406E-2</v>
      </c>
    </row>
    <row r="22" spans="2:22" ht="18.75" x14ac:dyDescent="0.3">
      <c r="B22" s="198" t="s">
        <v>32</v>
      </c>
      <c r="C22" s="199">
        <v>13113560.5782624</v>
      </c>
      <c r="D22" s="200"/>
      <c r="E22" s="199">
        <v>15890545.188662399</v>
      </c>
      <c r="F22" s="213">
        <v>13113560.5782624</v>
      </c>
      <c r="G22" s="255">
        <f t="shared" si="0"/>
        <v>-0.17475703806445383</v>
      </c>
      <c r="H22" s="254"/>
      <c r="I22" s="254"/>
      <c r="K22" s="181"/>
      <c r="L22" s="176" t="s">
        <v>186</v>
      </c>
      <c r="M22" s="177" t="s">
        <v>187</v>
      </c>
      <c r="N22" s="176">
        <v>1984</v>
      </c>
      <c r="O22" s="182">
        <v>37.5</v>
      </c>
      <c r="P22" s="182">
        <v>75</v>
      </c>
      <c r="Q22" s="201">
        <v>10223104.290303431</v>
      </c>
      <c r="R22" s="201">
        <v>10702050.722300813</v>
      </c>
      <c r="S22" s="202">
        <v>4.6849412702525184E-2</v>
      </c>
    </row>
    <row r="23" spans="2:22" ht="18.75" x14ac:dyDescent="0.3">
      <c r="B23" s="198" t="s">
        <v>188</v>
      </c>
      <c r="C23" s="199">
        <v>3790117.9258488007</v>
      </c>
      <c r="D23" s="200"/>
      <c r="E23" s="199">
        <v>5435918.2456487995</v>
      </c>
      <c r="F23" s="213">
        <v>3790117.9258488007</v>
      </c>
      <c r="G23" s="255">
        <f t="shared" si="0"/>
        <v>-0.30276399412691418</v>
      </c>
      <c r="H23" s="254"/>
      <c r="I23" s="254"/>
      <c r="K23" s="181"/>
      <c r="L23" s="176" t="s">
        <v>189</v>
      </c>
      <c r="M23" s="177" t="s">
        <v>190</v>
      </c>
      <c r="N23" s="176">
        <v>2006</v>
      </c>
      <c r="O23" s="182">
        <v>194.5</v>
      </c>
      <c r="P23" s="182">
        <v>389</v>
      </c>
      <c r="Q23" s="201">
        <v>64592068.150675535</v>
      </c>
      <c r="R23" s="201">
        <v>66942636.108853683</v>
      </c>
      <c r="S23" s="202">
        <v>3.6390969130991824E-2</v>
      </c>
    </row>
    <row r="24" spans="2:22" ht="18.75" x14ac:dyDescent="0.3">
      <c r="B24" s="198" t="s">
        <v>191</v>
      </c>
      <c r="C24" s="199">
        <v>3790117.9258488007</v>
      </c>
      <c r="D24" s="200"/>
      <c r="E24" s="199">
        <v>5435918.2456487995</v>
      </c>
      <c r="F24" s="213">
        <v>3790117.9258488007</v>
      </c>
      <c r="G24" s="255">
        <f t="shared" si="0"/>
        <v>-0.30276399412691418</v>
      </c>
      <c r="H24" s="254"/>
      <c r="I24" s="254"/>
      <c r="K24" s="181"/>
      <c r="L24" s="176" t="s">
        <v>192</v>
      </c>
      <c r="M24" s="177" t="s">
        <v>193</v>
      </c>
      <c r="N24" s="176">
        <v>2004</v>
      </c>
      <c r="O24" s="183">
        <v>110.21</v>
      </c>
      <c r="P24" s="182">
        <v>220.14</v>
      </c>
      <c r="Q24" s="201">
        <v>36459738.160742849</v>
      </c>
      <c r="R24" s="201">
        <v>37786543.366674483</v>
      </c>
      <c r="S24" s="202">
        <v>3.6390969130991824E-2</v>
      </c>
    </row>
    <row r="25" spans="2:22" ht="18.75" x14ac:dyDescent="0.3">
      <c r="B25" s="198" t="s">
        <v>194</v>
      </c>
      <c r="C25" s="199">
        <v>4162777.6088807988</v>
      </c>
      <c r="D25" s="200"/>
      <c r="E25" s="199">
        <v>6196967.3846807992</v>
      </c>
      <c r="F25" s="213">
        <v>4162777.6088807988</v>
      </c>
      <c r="G25" s="255">
        <f t="shared" si="0"/>
        <v>-0.32825568532579585</v>
      </c>
      <c r="H25" s="254"/>
      <c r="I25" s="254"/>
      <c r="K25" s="181"/>
      <c r="L25" s="176" t="s">
        <v>195</v>
      </c>
      <c r="M25" s="177" t="s">
        <v>196</v>
      </c>
      <c r="N25" s="176">
        <v>2004</v>
      </c>
      <c r="O25" s="182">
        <v>84.3</v>
      </c>
      <c r="P25" s="182">
        <v>168.6</v>
      </c>
      <c r="Q25" s="201">
        <v>27923647.923599739</v>
      </c>
      <c r="R25" s="201">
        <v>28939816.533212133</v>
      </c>
      <c r="S25" s="202">
        <v>3.6390969130991602E-2</v>
      </c>
    </row>
    <row r="26" spans="2:22" ht="18.75" x14ac:dyDescent="0.3">
      <c r="B26" s="198" t="s">
        <v>197</v>
      </c>
      <c r="C26" s="199">
        <v>16404172.282217599</v>
      </c>
      <c r="D26" s="200"/>
      <c r="E26" s="199">
        <v>19938516.331817597</v>
      </c>
      <c r="F26" s="213">
        <v>16404172.282217599</v>
      </c>
      <c r="G26" s="255">
        <f t="shared" si="0"/>
        <v>-0.177262138806183</v>
      </c>
      <c r="H26" s="254"/>
      <c r="I26" s="254"/>
      <c r="K26" s="181"/>
      <c r="L26" s="176" t="s">
        <v>198</v>
      </c>
      <c r="M26" s="177" t="s">
        <v>199</v>
      </c>
      <c r="N26" s="176">
        <v>2003</v>
      </c>
      <c r="O26" s="182">
        <v>16</v>
      </c>
      <c r="P26" s="182">
        <v>16</v>
      </c>
      <c r="Q26" s="201">
        <v>5299862.0021067131</v>
      </c>
      <c r="R26" s="201">
        <v>5752657.6915120855</v>
      </c>
      <c r="S26" s="202">
        <v>8.5435373454135988E-2</v>
      </c>
    </row>
    <row r="27" spans="2:22" ht="18.75" x14ac:dyDescent="0.3">
      <c r="B27" s="198" t="s">
        <v>200</v>
      </c>
      <c r="C27" s="203"/>
      <c r="D27" s="199">
        <v>7245345.3380341688</v>
      </c>
      <c r="E27" s="199">
        <v>10181907.355355907</v>
      </c>
      <c r="F27" s="213">
        <v>7245345.3380341688</v>
      </c>
      <c r="G27" s="255">
        <f t="shared" si="0"/>
        <v>-0.28840981506053892</v>
      </c>
      <c r="H27" s="254"/>
      <c r="I27" s="254"/>
      <c r="K27" s="181"/>
      <c r="L27" s="172" t="s">
        <v>201</v>
      </c>
      <c r="M27" s="173" t="s">
        <v>202</v>
      </c>
      <c r="N27" s="172">
        <v>2009</v>
      </c>
      <c r="O27" s="184">
        <v>96.87</v>
      </c>
      <c r="P27" s="184">
        <v>96.87</v>
      </c>
      <c r="Q27" s="1810">
        <v>28532002.533950865</v>
      </c>
      <c r="R27" s="1810">
        <v>32605126.716392029</v>
      </c>
      <c r="S27" s="1811">
        <v>0.14275633747033578</v>
      </c>
    </row>
    <row r="28" spans="2:22" ht="18.75" x14ac:dyDescent="0.3">
      <c r="B28" s="198" t="s">
        <v>203</v>
      </c>
      <c r="C28" s="203"/>
      <c r="D28" s="199">
        <v>7599449.3387019495</v>
      </c>
      <c r="E28" s="199">
        <v>11419481.27374934</v>
      </c>
      <c r="F28" s="213">
        <v>7599449.3387019495</v>
      </c>
      <c r="G28" s="255">
        <f t="shared" si="0"/>
        <v>-0.33451886679202597</v>
      </c>
      <c r="H28" s="254"/>
      <c r="I28" s="254"/>
      <c r="K28" s="181"/>
      <c r="L28" s="172" t="s">
        <v>204</v>
      </c>
      <c r="M28" s="173" t="s">
        <v>205</v>
      </c>
      <c r="N28" s="172">
        <v>2009</v>
      </c>
      <c r="O28" s="184">
        <v>24.88</v>
      </c>
      <c r="P28" s="184">
        <v>24.88</v>
      </c>
      <c r="Q28" s="1810"/>
      <c r="R28" s="1810"/>
      <c r="S28" s="1811"/>
    </row>
    <row r="29" spans="2:22" ht="18.75" x14ac:dyDescent="0.3">
      <c r="B29" s="198" t="s">
        <v>206</v>
      </c>
      <c r="C29" s="203"/>
      <c r="D29" s="199">
        <v>4499316.532399972</v>
      </c>
      <c r="E29" s="199">
        <v>6578909.8799312757</v>
      </c>
      <c r="F29" s="213">
        <v>4499316.532399972</v>
      </c>
      <c r="G29" s="255">
        <f t="shared" si="0"/>
        <v>-0.31609999004166744</v>
      </c>
      <c r="H29" s="254"/>
      <c r="I29" s="254"/>
      <c r="K29" s="181"/>
      <c r="L29" s="172" t="s">
        <v>207</v>
      </c>
      <c r="M29" s="173" t="s">
        <v>208</v>
      </c>
      <c r="N29" s="172">
        <v>2012</v>
      </c>
      <c r="O29" s="184">
        <v>44</v>
      </c>
      <c r="P29" s="184">
        <v>44</v>
      </c>
      <c r="Q29" s="1810"/>
      <c r="R29" s="1810"/>
      <c r="S29" s="1811"/>
    </row>
    <row r="30" spans="2:22" ht="19.5" thickBot="1" x14ac:dyDescent="0.35">
      <c r="B30" s="204" t="s">
        <v>11</v>
      </c>
      <c r="C30" s="205">
        <v>269345975.28345037</v>
      </c>
      <c r="D30" s="205">
        <v>57904527.209186099</v>
      </c>
      <c r="E30" s="205">
        <v>433523909.73836899</v>
      </c>
      <c r="F30" s="215">
        <v>327250502.4926365</v>
      </c>
      <c r="G30" s="255">
        <f t="shared" si="0"/>
        <v>-0.24513851452822596</v>
      </c>
      <c r="H30" s="254"/>
      <c r="I30" s="254"/>
      <c r="K30" s="181"/>
      <c r="L30" s="172" t="s">
        <v>209</v>
      </c>
      <c r="M30" s="173" t="s">
        <v>210</v>
      </c>
      <c r="N30" s="172">
        <v>2012</v>
      </c>
      <c r="O30" s="184">
        <v>76.650000000000006</v>
      </c>
      <c r="P30" s="184">
        <v>76.650000000000006</v>
      </c>
      <c r="Q30" s="1810"/>
      <c r="R30" s="1810"/>
      <c r="S30" s="1811"/>
    </row>
    <row r="31" spans="2:22" ht="15.75" thickBot="1" x14ac:dyDescent="0.3">
      <c r="K31" s="206"/>
      <c r="L31" s="206"/>
      <c r="M31" s="178" t="s">
        <v>11</v>
      </c>
      <c r="N31" s="178"/>
      <c r="O31" s="185">
        <v>1221.0800000000002</v>
      </c>
      <c r="P31" s="185">
        <v>2038.2999999999997</v>
      </c>
      <c r="Q31" s="185">
        <v>298712332.42003536</v>
      </c>
      <c r="R31" s="243">
        <v>314435954.65320075</v>
      </c>
      <c r="S31" s="208">
        <v>5.26380082997564E-2</v>
      </c>
      <c r="V31" s="241">
        <f>+Q31+Q41+Q49+Q59</f>
        <v>354650960.4642846</v>
      </c>
    </row>
    <row r="32" spans="2:22" ht="48" customHeight="1" thickBot="1" x14ac:dyDescent="0.3">
      <c r="B32" s="195" t="s">
        <v>211</v>
      </c>
      <c r="C32" s="196" t="s">
        <v>151</v>
      </c>
      <c r="D32" s="196" t="s">
        <v>152</v>
      </c>
      <c r="E32" s="195" t="s">
        <v>212</v>
      </c>
      <c r="F32" s="195" t="s">
        <v>213</v>
      </c>
      <c r="G32" s="196" t="s">
        <v>155</v>
      </c>
      <c r="K32" s="186" t="s">
        <v>214</v>
      </c>
    </row>
    <row r="33" spans="2:19" ht="18.75" x14ac:dyDescent="0.3">
      <c r="B33" s="198" t="s">
        <v>206</v>
      </c>
      <c r="C33" s="200"/>
      <c r="D33" s="199">
        <v>2272541.9264572496</v>
      </c>
      <c r="E33" s="199">
        <v>2272541.9264572496</v>
      </c>
      <c r="F33" s="212">
        <v>2272541.9264572496</v>
      </c>
      <c r="G33" s="255">
        <f t="shared" ref="G33:G36" si="1">(-E33+F33)/E33</f>
        <v>0</v>
      </c>
      <c r="H33" s="254"/>
      <c r="I33" s="254"/>
      <c r="K33" s="209" t="s">
        <v>215</v>
      </c>
    </row>
    <row r="34" spans="2:19" ht="18.75" x14ac:dyDescent="0.3">
      <c r="B34" s="198" t="s">
        <v>216</v>
      </c>
      <c r="C34" s="199">
        <v>17641747.575236522</v>
      </c>
      <c r="D34" s="200"/>
      <c r="E34" s="199">
        <v>22064532.505436514</v>
      </c>
      <c r="F34" s="213">
        <v>17641747.575236522</v>
      </c>
      <c r="G34" s="255">
        <f t="shared" si="1"/>
        <v>-0.20044770625030262</v>
      </c>
      <c r="H34" s="254"/>
      <c r="I34" s="254"/>
      <c r="Q34" s="1809" t="s">
        <v>40</v>
      </c>
      <c r="R34" s="1809"/>
    </row>
    <row r="35" spans="2:19" ht="30" x14ac:dyDescent="0.3">
      <c r="B35" s="198" t="s">
        <v>217</v>
      </c>
      <c r="C35" s="199">
        <v>16758019.313894842</v>
      </c>
      <c r="D35" s="200"/>
      <c r="E35" s="199">
        <v>21486660.940694839</v>
      </c>
      <c r="F35" s="213">
        <v>16758019.313894842</v>
      </c>
      <c r="G35" s="255">
        <f t="shared" si="1"/>
        <v>-0.22007335806393943</v>
      </c>
      <c r="H35" s="254"/>
      <c r="I35" s="254"/>
      <c r="K35" s="197"/>
      <c r="L35" s="197"/>
      <c r="M35" s="197"/>
      <c r="N35" s="195" t="s">
        <v>156</v>
      </c>
      <c r="O35" s="195" t="s">
        <v>157</v>
      </c>
      <c r="P35" s="195" t="s">
        <v>158</v>
      </c>
      <c r="Q35" s="195" t="s">
        <v>159</v>
      </c>
      <c r="R35" s="195" t="s">
        <v>160</v>
      </c>
      <c r="S35" s="195" t="s">
        <v>161</v>
      </c>
    </row>
    <row r="36" spans="2:19" ht="19.5" thickBot="1" x14ac:dyDescent="0.35">
      <c r="B36" s="204" t="s">
        <v>11</v>
      </c>
      <c r="C36" s="205">
        <v>34399766.889131367</v>
      </c>
      <c r="D36" s="205">
        <v>2272541.9264572496</v>
      </c>
      <c r="E36" s="205">
        <v>45823735.372588605</v>
      </c>
      <c r="F36" s="215">
        <v>36672308.815588608</v>
      </c>
      <c r="G36" s="255">
        <f t="shared" si="1"/>
        <v>-0.19970930965340522</v>
      </c>
      <c r="H36" s="254"/>
      <c r="I36" s="254"/>
      <c r="K36" s="187"/>
      <c r="L36" s="176" t="s">
        <v>218</v>
      </c>
      <c r="M36" s="177" t="s">
        <v>219</v>
      </c>
      <c r="N36" s="210">
        <v>1986</v>
      </c>
      <c r="O36" s="210">
        <v>24.33</v>
      </c>
      <c r="P36" s="211">
        <v>24</v>
      </c>
      <c r="Q36" s="201">
        <v>4948369.6454140339</v>
      </c>
      <c r="R36" s="201">
        <v>5128803.6307843197</v>
      </c>
      <c r="S36" s="202">
        <v>3.6463319901233637E-2</v>
      </c>
    </row>
    <row r="37" spans="2:19" x14ac:dyDescent="0.25">
      <c r="K37" s="178" t="s">
        <v>179</v>
      </c>
      <c r="L37" s="176" t="s">
        <v>220</v>
      </c>
      <c r="M37" s="177" t="s">
        <v>221</v>
      </c>
      <c r="N37" s="210">
        <v>1986</v>
      </c>
      <c r="O37" s="210">
        <v>29.75</v>
      </c>
      <c r="P37" s="211">
        <v>29.7</v>
      </c>
      <c r="Q37" s="201">
        <v>4948369.6454140339</v>
      </c>
      <c r="R37" s="201">
        <v>5128803.6307843197</v>
      </c>
      <c r="S37" s="202">
        <v>3.6463319901233637E-2</v>
      </c>
    </row>
    <row r="38" spans="2:19" ht="30.75" thickBot="1" x14ac:dyDescent="0.3">
      <c r="B38" s="195" t="s">
        <v>222</v>
      </c>
      <c r="C38" s="195" t="s">
        <v>223</v>
      </c>
      <c r="D38" s="195" t="s">
        <v>224</v>
      </c>
      <c r="E38" s="195" t="s">
        <v>225</v>
      </c>
      <c r="F38" s="195" t="s">
        <v>226</v>
      </c>
      <c r="G38" s="195" t="s">
        <v>227</v>
      </c>
      <c r="H38" s="196" t="s">
        <v>155</v>
      </c>
      <c r="I38" s="196"/>
      <c r="K38" s="178" t="s">
        <v>228</v>
      </c>
      <c r="L38" s="176" t="s">
        <v>229</v>
      </c>
      <c r="M38" s="177" t="s">
        <v>230</v>
      </c>
      <c r="N38" s="210">
        <v>1986</v>
      </c>
      <c r="O38" s="211">
        <v>9.5</v>
      </c>
      <c r="P38" s="211">
        <v>9.6999999999999993</v>
      </c>
      <c r="Q38" s="201">
        <v>1777747.6133524487</v>
      </c>
      <c r="R38" s="201">
        <v>1842570.1932817737</v>
      </c>
      <c r="S38" s="202">
        <v>3.6463319901233637E-2</v>
      </c>
    </row>
    <row r="39" spans="2:19" ht="18.75" x14ac:dyDescent="0.3">
      <c r="B39" s="198" t="s">
        <v>29</v>
      </c>
      <c r="C39" s="199">
        <v>22553196.009444006</v>
      </c>
      <c r="D39" s="200"/>
      <c r="E39" s="199">
        <v>7823279.1405278025</v>
      </c>
      <c r="F39" s="199">
        <f t="shared" ref="F39:F45" si="2">SUM(C39:E39)</f>
        <v>30376475.149971809</v>
      </c>
      <c r="G39" s="212">
        <v>27047086.114971805</v>
      </c>
      <c r="H39" s="255">
        <f t="shared" ref="H39:H46" si="3">(-F39+G39)/F39</f>
        <v>-0.10960419267088972</v>
      </c>
      <c r="I39" s="255"/>
      <c r="J39" s="254"/>
      <c r="K39" s="175"/>
      <c r="L39" s="176" t="s">
        <v>231</v>
      </c>
      <c r="M39" s="177" t="s">
        <v>232</v>
      </c>
      <c r="N39" s="210">
        <v>2011</v>
      </c>
      <c r="O39" s="211">
        <v>15</v>
      </c>
      <c r="P39" s="211">
        <v>15</v>
      </c>
      <c r="Q39" s="201">
        <v>2749094.2474522404</v>
      </c>
      <c r="R39" s="201">
        <v>2849335.3504357324</v>
      </c>
      <c r="S39" s="202">
        <v>3.6463319901233637E-2</v>
      </c>
    </row>
    <row r="40" spans="2:19" ht="19.5" thickBot="1" x14ac:dyDescent="0.35">
      <c r="B40" s="198" t="s">
        <v>233</v>
      </c>
      <c r="C40" s="199">
        <v>3497718.9238991998</v>
      </c>
      <c r="D40" s="200"/>
      <c r="E40" s="200"/>
      <c r="F40" s="199">
        <f t="shared" si="2"/>
        <v>3497718.9238991998</v>
      </c>
      <c r="G40" s="213">
        <v>2303421.3466992001</v>
      </c>
      <c r="H40" s="255">
        <f t="shared" si="3"/>
        <v>-0.34145041473733295</v>
      </c>
      <c r="I40" s="255"/>
      <c r="J40" s="254"/>
      <c r="K40" s="188"/>
      <c r="L40" s="176" t="s">
        <v>234</v>
      </c>
      <c r="M40" s="177" t="s">
        <v>235</v>
      </c>
      <c r="N40" s="210"/>
      <c r="O40" s="210"/>
      <c r="P40" s="211"/>
      <c r="Q40" s="201"/>
      <c r="R40" s="201"/>
      <c r="S40" s="214"/>
    </row>
    <row r="41" spans="2:19" ht="19.5" thickBot="1" x14ac:dyDescent="0.35">
      <c r="B41" s="198" t="s">
        <v>30</v>
      </c>
      <c r="C41" s="199">
        <v>15545375.418864001</v>
      </c>
      <c r="D41" s="199">
        <v>6533160.7292674826</v>
      </c>
      <c r="E41" s="740">
        <v>1966098.9783451543</v>
      </c>
      <c r="F41" s="199">
        <f t="shared" si="2"/>
        <v>24044635.126476638</v>
      </c>
      <c r="G41" s="213">
        <v>21965041.778945301</v>
      </c>
      <c r="H41" s="255">
        <f t="shared" si="3"/>
        <v>-8.6488871076334309E-2</v>
      </c>
      <c r="I41" s="255"/>
      <c r="J41" s="254"/>
      <c r="K41" s="206"/>
      <c r="L41" s="206"/>
      <c r="M41" s="178"/>
      <c r="N41" s="178"/>
      <c r="O41" s="185">
        <v>78.58</v>
      </c>
      <c r="P41" s="185">
        <v>78.400000000000006</v>
      </c>
      <c r="Q41" s="185">
        <v>14423581.151632756</v>
      </c>
      <c r="R41" s="243">
        <v>14949512.805286145</v>
      </c>
      <c r="S41" s="208">
        <v>3.6463319901233637E-2</v>
      </c>
    </row>
    <row r="42" spans="2:19" ht="18.75" x14ac:dyDescent="0.3">
      <c r="B42" s="198" t="s">
        <v>182</v>
      </c>
      <c r="C42" s="200"/>
      <c r="D42" s="200"/>
      <c r="E42" s="199">
        <v>5651072.8711218843</v>
      </c>
      <c r="F42" s="199">
        <f t="shared" si="2"/>
        <v>5651072.8711218843</v>
      </c>
      <c r="G42" s="213">
        <v>5651072.8711218843</v>
      </c>
      <c r="H42" s="255">
        <f t="shared" si="3"/>
        <v>0</v>
      </c>
      <c r="I42" s="255"/>
      <c r="J42" s="254"/>
      <c r="K42" s="209" t="s">
        <v>215</v>
      </c>
    </row>
    <row r="43" spans="2:19" ht="18.75" x14ac:dyDescent="0.3">
      <c r="B43" s="198" t="s">
        <v>32</v>
      </c>
      <c r="C43" s="200"/>
      <c r="D43" s="199">
        <v>1201862.5652256412</v>
      </c>
      <c r="E43" s="199">
        <v>4124071.523175756</v>
      </c>
      <c r="F43" s="199">
        <f t="shared" si="2"/>
        <v>5325934.0884013977</v>
      </c>
      <c r="G43" s="213">
        <v>4964446.9346661791</v>
      </c>
      <c r="H43" s="255">
        <f t="shared" si="3"/>
        <v>-6.7873005511361953E-2</v>
      </c>
      <c r="I43" s="255"/>
      <c r="J43" s="254"/>
      <c r="Q43" s="1809" t="s">
        <v>40</v>
      </c>
      <c r="R43" s="1809"/>
    </row>
    <row r="44" spans="2:19" ht="30" x14ac:dyDescent="0.3">
      <c r="B44" s="198" t="s">
        <v>197</v>
      </c>
      <c r="C44" s="200"/>
      <c r="D44" s="199">
        <v>149234.44478002368</v>
      </c>
      <c r="E44" s="740">
        <v>1784882.6666695022</v>
      </c>
      <c r="F44" s="199">
        <f t="shared" si="2"/>
        <v>1934117.1114495259</v>
      </c>
      <c r="G44" s="213">
        <v>1934117.1114495259</v>
      </c>
      <c r="H44" s="255">
        <f t="shared" si="3"/>
        <v>0</v>
      </c>
      <c r="I44" s="255"/>
      <c r="J44" s="254"/>
      <c r="K44" s="197"/>
      <c r="L44" s="197"/>
      <c r="M44" s="197"/>
      <c r="N44" s="195" t="s">
        <v>156</v>
      </c>
      <c r="O44" s="195" t="s">
        <v>157</v>
      </c>
      <c r="P44" s="195" t="s">
        <v>158</v>
      </c>
      <c r="Q44" s="195" t="s">
        <v>159</v>
      </c>
      <c r="R44" s="195" t="s">
        <v>160</v>
      </c>
      <c r="S44" s="195" t="s">
        <v>161</v>
      </c>
    </row>
    <row r="45" spans="2:19" ht="18.75" x14ac:dyDescent="0.3">
      <c r="B45" s="198" t="s">
        <v>236</v>
      </c>
      <c r="C45" s="203"/>
      <c r="D45" s="199">
        <v>1736434.7500500004</v>
      </c>
      <c r="E45" s="200"/>
      <c r="F45" s="199">
        <f t="shared" si="2"/>
        <v>1736434.7500500004</v>
      </c>
      <c r="G45" s="213">
        <v>1736434.7500500004</v>
      </c>
      <c r="H45" s="255">
        <f t="shared" si="3"/>
        <v>0</v>
      </c>
      <c r="I45" s="255"/>
      <c r="J45" s="254"/>
      <c r="K45" s="187"/>
      <c r="L45" s="176" t="s">
        <v>237</v>
      </c>
      <c r="M45" s="192" t="s">
        <v>238</v>
      </c>
      <c r="N45" s="210">
        <v>2016</v>
      </c>
      <c r="O45" s="210">
        <v>46.6</v>
      </c>
      <c r="P45" s="211">
        <v>93.2</v>
      </c>
      <c r="Q45" s="201">
        <v>13311816.925017213</v>
      </c>
      <c r="R45" s="201">
        <v>12186808.929822883</v>
      </c>
      <c r="S45" s="202">
        <v>-8.4511979208493848E-2</v>
      </c>
    </row>
    <row r="46" spans="2:19" ht="19.5" thickBot="1" x14ac:dyDescent="0.35">
      <c r="B46" s="204" t="s">
        <v>11</v>
      </c>
      <c r="C46" s="205">
        <f>SUM(C39:C45)</f>
        <v>41596290.352207206</v>
      </c>
      <c r="D46" s="205">
        <f>SUM(D39:D45)</f>
        <v>9620692.4893231485</v>
      </c>
      <c r="E46" s="205">
        <f>SUM(E39:E45)</f>
        <v>21349405.179840103</v>
      </c>
      <c r="F46" s="205">
        <f>SUM(F39:F45)</f>
        <v>72566388.021370441</v>
      </c>
      <c r="G46" s="215">
        <v>65601620.907903925</v>
      </c>
      <c r="H46" s="255">
        <f t="shared" si="3"/>
        <v>-9.5977866659360617E-2</v>
      </c>
      <c r="I46" s="255"/>
      <c r="J46" s="254"/>
      <c r="K46" s="178" t="s">
        <v>239</v>
      </c>
      <c r="L46" s="176" t="s">
        <v>240</v>
      </c>
      <c r="M46" s="192" t="s">
        <v>241</v>
      </c>
      <c r="N46" s="210">
        <v>2004</v>
      </c>
      <c r="O46" s="210">
        <v>6.2</v>
      </c>
      <c r="P46" s="211">
        <v>12.4</v>
      </c>
      <c r="Q46" s="201">
        <v>1499495.5614880177</v>
      </c>
      <c r="R46" s="201">
        <v>1957816.7178985234</v>
      </c>
      <c r="S46" s="202">
        <v>0.30565022543694154</v>
      </c>
    </row>
    <row r="47" spans="2:19" x14ac:dyDescent="0.25">
      <c r="K47" s="178" t="s">
        <v>183</v>
      </c>
      <c r="L47" s="176" t="s">
        <v>242</v>
      </c>
      <c r="M47" s="192" t="s">
        <v>243</v>
      </c>
      <c r="N47" s="210">
        <v>1979</v>
      </c>
      <c r="O47" s="211">
        <v>25</v>
      </c>
      <c r="P47" s="211">
        <v>50</v>
      </c>
      <c r="Q47" s="201">
        <v>6046353.0705161979</v>
      </c>
      <c r="R47" s="201">
        <v>6537987.6232955391</v>
      </c>
      <c r="S47" s="202">
        <v>8.1310923633734822E-2</v>
      </c>
    </row>
    <row r="48" spans="2:19" ht="15.75" thickBot="1" x14ac:dyDescent="0.3">
      <c r="K48" s="175"/>
      <c r="L48" s="176" t="s">
        <v>244</v>
      </c>
      <c r="M48" s="192" t="s">
        <v>245</v>
      </c>
      <c r="N48" s="210">
        <v>1972</v>
      </c>
      <c r="O48" s="211">
        <v>111.4</v>
      </c>
      <c r="P48" s="211">
        <v>111.4</v>
      </c>
      <c r="Q48" s="201">
        <v>13060122.632314991</v>
      </c>
      <c r="R48" s="201">
        <v>17051952.05911617</v>
      </c>
      <c r="S48" s="202">
        <v>0.30565022543694154</v>
      </c>
    </row>
    <row r="49" spans="2:19" ht="30.75" thickBot="1" x14ac:dyDescent="0.3">
      <c r="B49" s="195" t="s">
        <v>222</v>
      </c>
      <c r="C49" s="195" t="s">
        <v>223</v>
      </c>
      <c r="D49" s="195" t="s">
        <v>224</v>
      </c>
      <c r="E49" s="195" t="s">
        <v>225</v>
      </c>
      <c r="F49" s="195" t="s">
        <v>226</v>
      </c>
      <c r="G49" s="195" t="s">
        <v>227</v>
      </c>
      <c r="H49" s="196" t="s">
        <v>155</v>
      </c>
      <c r="I49" s="196" t="s">
        <v>293</v>
      </c>
      <c r="K49" s="206"/>
      <c r="L49" s="206"/>
      <c r="M49" s="178"/>
      <c r="N49" s="178"/>
      <c r="O49" s="185">
        <v>189.20000000000002</v>
      </c>
      <c r="P49" s="185">
        <v>267</v>
      </c>
      <c r="Q49" s="185">
        <v>33917788.189336419</v>
      </c>
      <c r="R49" s="243">
        <v>37734565.33013311</v>
      </c>
      <c r="S49" s="208">
        <v>0.11253024871464534</v>
      </c>
    </row>
    <row r="50" spans="2:19" ht="18.75" x14ac:dyDescent="0.3">
      <c r="B50" s="198" t="s">
        <v>29</v>
      </c>
      <c r="C50" s="199">
        <v>22553196.009444006</v>
      </c>
      <c r="D50" s="200"/>
      <c r="E50" s="199">
        <v>7823279.1405278025</v>
      </c>
      <c r="F50" s="199">
        <f t="shared" ref="F50:F56" si="4">SUM(C50:E50)</f>
        <v>30376475.149971809</v>
      </c>
      <c r="G50" s="262">
        <v>27047086.114971802</v>
      </c>
      <c r="H50" s="265">
        <f t="shared" ref="H50:H57" si="5">(-F50+G50)/F50</f>
        <v>-0.10960419267088985</v>
      </c>
      <c r="I50" s="260">
        <f t="shared" ref="I50:I57" si="6">+F50-G50</f>
        <v>3329389.0350000076</v>
      </c>
      <c r="K50" s="209" t="s">
        <v>215</v>
      </c>
    </row>
    <row r="51" spans="2:19" ht="18.75" x14ac:dyDescent="0.3">
      <c r="B51" s="198" t="s">
        <v>233</v>
      </c>
      <c r="C51" s="199">
        <v>3497718.9238991998</v>
      </c>
      <c r="D51" s="200"/>
      <c r="E51" s="200"/>
      <c r="F51" s="199">
        <f t="shared" si="4"/>
        <v>3497718.9238991998</v>
      </c>
      <c r="G51" s="263">
        <v>2303421.3466992001</v>
      </c>
      <c r="H51" s="266">
        <f t="shared" si="5"/>
        <v>-0.34145041473733295</v>
      </c>
      <c r="I51" s="267">
        <f t="shared" si="6"/>
        <v>1194297.5771999997</v>
      </c>
      <c r="Q51" s="1809" t="s">
        <v>40</v>
      </c>
      <c r="R51" s="1809"/>
    </row>
    <row r="52" spans="2:19" ht="30" x14ac:dyDescent="0.3">
      <c r="B52" s="198" t="s">
        <v>30</v>
      </c>
      <c r="C52" s="199">
        <v>15545375.418864001</v>
      </c>
      <c r="D52" s="199">
        <v>6533160.7292674826</v>
      </c>
      <c r="E52" s="199">
        <v>1966098.9783451543</v>
      </c>
      <c r="F52" s="199">
        <f t="shared" si="4"/>
        <v>24044635.126476638</v>
      </c>
      <c r="G52" s="263">
        <v>21965041.778945301</v>
      </c>
      <c r="H52" s="266">
        <f t="shared" si="5"/>
        <v>-8.6488871076334309E-2</v>
      </c>
      <c r="I52" s="267">
        <f t="shared" si="6"/>
        <v>2079593.3475313373</v>
      </c>
      <c r="K52" s="197"/>
      <c r="L52" s="197"/>
      <c r="M52" s="197"/>
      <c r="N52" s="195" t="s">
        <v>156</v>
      </c>
      <c r="O52" s="195" t="s">
        <v>157</v>
      </c>
      <c r="P52" s="195" t="s">
        <v>158</v>
      </c>
      <c r="Q52" s="195" t="s">
        <v>159</v>
      </c>
      <c r="R52" s="195" t="s">
        <v>160</v>
      </c>
      <c r="S52" s="195" t="s">
        <v>161</v>
      </c>
    </row>
    <row r="53" spans="2:19" ht="18.75" x14ac:dyDescent="0.3">
      <c r="B53" s="198" t="s">
        <v>182</v>
      </c>
      <c r="C53" s="200"/>
      <c r="D53" s="200"/>
      <c r="E53" s="199">
        <v>5651072.8711218843</v>
      </c>
      <c r="F53" s="199">
        <f t="shared" si="4"/>
        <v>5651072.8711218843</v>
      </c>
      <c r="G53" s="263">
        <v>5651072.8711218843</v>
      </c>
      <c r="H53" s="266">
        <f t="shared" si="5"/>
        <v>0</v>
      </c>
      <c r="I53" s="267">
        <f t="shared" si="6"/>
        <v>0</v>
      </c>
      <c r="K53" s="216"/>
      <c r="L53" s="176" t="s">
        <v>246</v>
      </c>
      <c r="M53" s="192" t="s">
        <v>247</v>
      </c>
      <c r="N53" s="210">
        <v>1976</v>
      </c>
      <c r="O53" s="210">
        <v>0.8</v>
      </c>
      <c r="P53" s="211">
        <v>0.8</v>
      </c>
      <c r="Q53" s="201">
        <v>170759.85006590147</v>
      </c>
      <c r="R53" s="201">
        <v>180545.05660554193</v>
      </c>
      <c r="S53" s="202">
        <v>5.7303906836788876E-2</v>
      </c>
    </row>
    <row r="54" spans="2:19" ht="18.75" x14ac:dyDescent="0.3">
      <c r="B54" s="198" t="s">
        <v>32</v>
      </c>
      <c r="C54" s="200"/>
      <c r="D54" s="199">
        <v>1201862.5652256412</v>
      </c>
      <c r="E54" s="199">
        <v>4124071.523175756</v>
      </c>
      <c r="F54" s="199">
        <f t="shared" si="4"/>
        <v>5325934.0884013977</v>
      </c>
      <c r="G54" s="263">
        <v>4964446.9346661791</v>
      </c>
      <c r="H54" s="266">
        <f t="shared" si="5"/>
        <v>-6.7873005511361953E-2</v>
      </c>
      <c r="I54" s="267">
        <f t="shared" si="6"/>
        <v>361487.15373521857</v>
      </c>
      <c r="K54" s="216"/>
      <c r="L54" s="176" t="s">
        <v>251</v>
      </c>
      <c r="M54" s="192" t="s">
        <v>252</v>
      </c>
      <c r="N54" s="210">
        <v>2008</v>
      </c>
      <c r="O54" s="210">
        <v>0.8</v>
      </c>
      <c r="P54" s="211">
        <v>0.8</v>
      </c>
      <c r="Q54" s="201">
        <v>931735.71063955245</v>
      </c>
      <c r="R54" s="201">
        <v>1037996.7263197587</v>
      </c>
      <c r="S54" s="202">
        <v>0.1140463056924883</v>
      </c>
    </row>
    <row r="55" spans="2:19" ht="18.75" x14ac:dyDescent="0.3">
      <c r="B55" s="198" t="s">
        <v>197</v>
      </c>
      <c r="C55" s="200"/>
      <c r="D55" s="199">
        <v>149234.44478002368</v>
      </c>
      <c r="E55" s="199">
        <v>1784882.6666695022</v>
      </c>
      <c r="F55" s="199">
        <f t="shared" si="4"/>
        <v>1934117.1114495259</v>
      </c>
      <c r="G55" s="263">
        <v>1934117.1114495259</v>
      </c>
      <c r="H55" s="266">
        <f t="shared" si="5"/>
        <v>0</v>
      </c>
      <c r="I55" s="267">
        <f t="shared" si="6"/>
        <v>0</v>
      </c>
      <c r="K55" s="178" t="s">
        <v>239</v>
      </c>
      <c r="L55" s="176" t="s">
        <v>254</v>
      </c>
      <c r="M55" s="192" t="s">
        <v>255</v>
      </c>
      <c r="N55" s="210">
        <v>1979</v>
      </c>
      <c r="O55" s="224">
        <v>5.8</v>
      </c>
      <c r="P55" s="224">
        <v>5.8</v>
      </c>
      <c r="Q55" s="201">
        <v>983541.15475019277</v>
      </c>
      <c r="R55" s="885">
        <v>1037996.7263197587</v>
      </c>
      <c r="S55" s="202">
        <v>5.53668459185086E-2</v>
      </c>
    </row>
    <row r="56" spans="2:19" ht="19.5" thickBot="1" x14ac:dyDescent="0.35">
      <c r="B56" s="198" t="s">
        <v>236</v>
      </c>
      <c r="C56" s="203"/>
      <c r="D56" s="199">
        <v>1736434.7500500004</v>
      </c>
      <c r="E56" s="200"/>
      <c r="F56" s="199">
        <f t="shared" si="4"/>
        <v>1736434.7500500004</v>
      </c>
      <c r="G56" s="263">
        <v>1736434.7500500004</v>
      </c>
      <c r="H56" s="266">
        <f t="shared" si="5"/>
        <v>0</v>
      </c>
      <c r="I56" s="267">
        <f t="shared" si="6"/>
        <v>0</v>
      </c>
      <c r="K56" s="178" t="s">
        <v>228</v>
      </c>
      <c r="L56" s="176" t="s">
        <v>257</v>
      </c>
      <c r="M56" s="192" t="s">
        <v>258</v>
      </c>
      <c r="N56" s="210">
        <v>1979</v>
      </c>
      <c r="O56" s="224">
        <v>2</v>
      </c>
      <c r="P56" s="224">
        <v>2</v>
      </c>
      <c r="Q56" s="201">
        <v>339152.12232765276</v>
      </c>
      <c r="R56" s="885">
        <v>362898.05802177201</v>
      </c>
      <c r="S56" s="202">
        <v>7.0015589261677835E-2</v>
      </c>
    </row>
    <row r="57" spans="2:19" ht="19.5" thickBot="1" x14ac:dyDescent="0.35">
      <c r="B57" s="204" t="s">
        <v>11</v>
      </c>
      <c r="C57" s="205">
        <f>SUM(C50:C56)</f>
        <v>41596290.352207206</v>
      </c>
      <c r="D57" s="205">
        <f>SUM(D50:D56)</f>
        <v>9620692.4893231485</v>
      </c>
      <c r="E57" s="205">
        <f>SUM(E50:E56)</f>
        <v>21349405.179840103</v>
      </c>
      <c r="F57" s="205">
        <f>SUM(F50:F56)</f>
        <v>72566388.021370441</v>
      </c>
      <c r="G57" s="264">
        <v>65601620.907903925</v>
      </c>
      <c r="H57" s="268">
        <f t="shared" si="5"/>
        <v>-9.5977866659360617E-2</v>
      </c>
      <c r="I57" s="269">
        <f t="shared" si="6"/>
        <v>6964767.1134665161</v>
      </c>
      <c r="K57" s="216"/>
      <c r="L57" s="176" t="s">
        <v>260</v>
      </c>
      <c r="M57" s="192" t="s">
        <v>261</v>
      </c>
      <c r="N57" s="210">
        <v>1982</v>
      </c>
      <c r="O57" s="224">
        <v>0.5</v>
      </c>
      <c r="P57" s="224">
        <v>0.5</v>
      </c>
      <c r="Q57" s="201">
        <v>84788.03058191319</v>
      </c>
      <c r="R57" s="885">
        <v>89482.47640687578</v>
      </c>
      <c r="S57" s="202">
        <v>5.53668459185086E-2</v>
      </c>
    </row>
    <row r="58" spans="2:19" ht="15.75" thickBot="1" x14ac:dyDescent="0.3">
      <c r="K58" s="216"/>
      <c r="L58" s="176" t="s">
        <v>263</v>
      </c>
      <c r="M58" s="192" t="s">
        <v>264</v>
      </c>
      <c r="N58" s="210">
        <v>1988</v>
      </c>
      <c r="O58" s="224">
        <v>30</v>
      </c>
      <c r="P58" s="224">
        <v>30</v>
      </c>
      <c r="Q58" s="201">
        <v>5087281.8349147914</v>
      </c>
      <c r="R58" s="885">
        <v>5443470.8703265833</v>
      </c>
      <c r="S58" s="202">
        <v>7.0015589261678501E-2</v>
      </c>
    </row>
    <row r="59" spans="2:19" ht="15.75" thickBot="1" x14ac:dyDescent="0.3">
      <c r="K59" s="206"/>
      <c r="L59" s="206"/>
      <c r="M59" s="178"/>
      <c r="N59" s="178"/>
      <c r="O59" s="185">
        <v>39.9</v>
      </c>
      <c r="P59" s="185">
        <v>39.9</v>
      </c>
      <c r="Q59" s="185">
        <v>7597258.7032800037</v>
      </c>
      <c r="R59" s="243">
        <v>8152389.9140002914</v>
      </c>
      <c r="S59" s="208">
        <v>7.3069936460189E-2</v>
      </c>
    </row>
    <row r="60" spans="2:19" ht="21" x14ac:dyDescent="0.35">
      <c r="B60" s="513"/>
      <c r="C60" s="513"/>
      <c r="D60" s="513"/>
      <c r="K60" s="209" t="s">
        <v>215</v>
      </c>
    </row>
    <row r="61" spans="2:19" ht="15.75" thickBot="1" x14ac:dyDescent="0.3"/>
    <row r="62" spans="2:19" ht="57" thickBot="1" x14ac:dyDescent="0.4">
      <c r="B62" s="514" t="s">
        <v>273</v>
      </c>
      <c r="C62" s="515" t="s">
        <v>305</v>
      </c>
      <c r="D62" s="515" t="s">
        <v>306</v>
      </c>
      <c r="E62" s="515" t="s">
        <v>307</v>
      </c>
      <c r="F62" s="515" t="s">
        <v>308</v>
      </c>
      <c r="G62" s="538" t="s">
        <v>227</v>
      </c>
      <c r="H62" s="514" t="s">
        <v>155</v>
      </c>
      <c r="I62" s="512"/>
      <c r="K62" s="237" t="s">
        <v>267</v>
      </c>
      <c r="L62" s="216"/>
      <c r="M62" s="216"/>
      <c r="N62" s="216"/>
      <c r="O62" s="216"/>
      <c r="P62" s="216"/>
      <c r="Q62" s="207">
        <f>+Q31+Q41+Q49+Q59</f>
        <v>354650960.4642846</v>
      </c>
      <c r="R62" s="207">
        <f>+R31+R41+R49+R59</f>
        <v>375272422.70262027</v>
      </c>
      <c r="S62" s="208">
        <v>5.814579554878252E-2</v>
      </c>
    </row>
    <row r="63" spans="2:19" ht="21" x14ac:dyDescent="0.35">
      <c r="B63" s="516" t="s">
        <v>29</v>
      </c>
      <c r="C63" s="517">
        <v>19223806.974443998</v>
      </c>
      <c r="D63" s="518"/>
      <c r="E63" s="519">
        <v>7823279.1405278025</v>
      </c>
      <c r="F63" s="519">
        <v>30376475.149971809</v>
      </c>
      <c r="G63" s="521">
        <v>27047086.114971805</v>
      </c>
      <c r="H63" s="520">
        <v>-0.10960419267088972</v>
      </c>
      <c r="I63" s="261"/>
    </row>
    <row r="64" spans="2:19" ht="16.5" customHeight="1" x14ac:dyDescent="0.35">
      <c r="B64" s="516" t="s">
        <v>233</v>
      </c>
      <c r="C64" s="519">
        <v>2303421.3466992001</v>
      </c>
      <c r="D64" s="518"/>
      <c r="E64" s="518"/>
      <c r="F64" s="519">
        <v>3497718.9238991998</v>
      </c>
      <c r="G64" s="521">
        <v>2303421.3466992001</v>
      </c>
      <c r="H64" s="520">
        <v>-0.34145041473733295</v>
      </c>
      <c r="I64" s="261"/>
      <c r="Q64" s="244"/>
      <c r="R64" s="241"/>
      <c r="S64" s="241"/>
    </row>
    <row r="65" spans="2:11" ht="21" x14ac:dyDescent="0.35">
      <c r="B65" s="516" t="s">
        <v>30</v>
      </c>
      <c r="C65" s="517">
        <v>15545375.418864001</v>
      </c>
      <c r="D65" s="517">
        <v>4453567.381736177</v>
      </c>
      <c r="E65" s="517">
        <v>1966098.9783451543</v>
      </c>
      <c r="F65" s="519">
        <v>24044635.126476638</v>
      </c>
      <c r="G65" s="521">
        <v>21965041.778945334</v>
      </c>
      <c r="H65" s="520">
        <v>-8.6488871076332963E-2</v>
      </c>
      <c r="I65" s="261"/>
    </row>
    <row r="66" spans="2:11" ht="18" x14ac:dyDescent="0.25">
      <c r="B66" s="516" t="s">
        <v>182</v>
      </c>
      <c r="C66" s="518"/>
      <c r="D66" s="518"/>
      <c r="E66" s="519">
        <v>5651072.8711218843</v>
      </c>
      <c r="F66" s="519">
        <v>5651072.8711218843</v>
      </c>
      <c r="G66" s="521">
        <v>5651072.8711218843</v>
      </c>
      <c r="H66" s="520">
        <v>0</v>
      </c>
    </row>
    <row r="67" spans="2:11" ht="18" x14ac:dyDescent="0.25">
      <c r="B67" s="516" t="s">
        <v>32</v>
      </c>
      <c r="C67" s="518"/>
      <c r="D67" s="517">
        <v>840375.4114904236</v>
      </c>
      <c r="E67" s="517">
        <v>4124071.523175756</v>
      </c>
      <c r="F67" s="519">
        <v>5325934.0884013977</v>
      </c>
      <c r="G67" s="521">
        <v>4964446.9346661791</v>
      </c>
      <c r="H67" s="520">
        <v>-6.7873005511361995E-2</v>
      </c>
    </row>
    <row r="68" spans="2:11" ht="18" x14ac:dyDescent="0.25">
      <c r="B68" s="516" t="s">
        <v>197</v>
      </c>
      <c r="C68" s="518"/>
      <c r="D68" s="519">
        <v>149234.44478002368</v>
      </c>
      <c r="E68" s="519">
        <v>1784882.6666695022</v>
      </c>
      <c r="F68" s="519">
        <v>1934117.1114495259</v>
      </c>
      <c r="G68" s="521">
        <v>1934117.1114495259</v>
      </c>
      <c r="H68" s="520">
        <v>0</v>
      </c>
      <c r="K68" s="527"/>
    </row>
    <row r="69" spans="2:11" ht="18" x14ac:dyDescent="0.25">
      <c r="B69" s="516" t="s">
        <v>236</v>
      </c>
      <c r="C69" s="522"/>
      <c r="D69" s="519">
        <v>1736434.7500500004</v>
      </c>
      <c r="E69" s="518"/>
      <c r="F69" s="519">
        <v>1736434.7500500004</v>
      </c>
      <c r="G69" s="521">
        <v>1736434.7500500004</v>
      </c>
      <c r="H69" s="520">
        <v>0</v>
      </c>
      <c r="K69" s="527"/>
    </row>
    <row r="70" spans="2:11" ht="18.75" x14ac:dyDescent="0.3">
      <c r="B70" s="523" t="s">
        <v>11</v>
      </c>
      <c r="C70" s="524">
        <v>37072603.740007207</v>
      </c>
      <c r="D70" s="524">
        <v>7179611.9880566243</v>
      </c>
      <c r="E70" s="524">
        <v>21349405.179840103</v>
      </c>
      <c r="F70" s="524">
        <v>72566388.021370441</v>
      </c>
      <c r="G70" s="525">
        <v>65601620.907903925</v>
      </c>
      <c r="H70" s="526">
        <v>-9.5977866659360589E-2</v>
      </c>
    </row>
    <row r="73" spans="2:11" x14ac:dyDescent="0.25">
      <c r="G73" s="192" t="str">
        <f>+B65</f>
        <v>LLANO SANCHEZ</v>
      </c>
      <c r="H73" s="241">
        <f>+C65</f>
        <v>15545375.418864001</v>
      </c>
    </row>
    <row r="74" spans="2:11" x14ac:dyDescent="0.25">
      <c r="G74" s="707" t="str">
        <f>+'LL.SANCHEZ CONEX 230'!B23</f>
        <v xml:space="preserve">Autotrasformador de Potencia 230/115 kV 100 MVA </v>
      </c>
      <c r="H74" s="192">
        <f>+'LL.SANCHEZ CONEX 230'!E23</f>
        <v>3200000</v>
      </c>
    </row>
    <row r="75" spans="2:11" ht="15.75" thickBot="1" x14ac:dyDescent="0.3">
      <c r="G75" s="707" t="str">
        <f>+'LL.SANCHEZ CONEX 230'!B25</f>
        <v xml:space="preserve">Autotrasformador de Potencia 230/115/34.5 kV y 70 MVA </v>
      </c>
      <c r="H75" s="708">
        <f>+'SALIDAS Y TRANSFORMACION'!E8</f>
        <v>0</v>
      </c>
    </row>
    <row r="76" spans="2:11" ht="19.5" thickBot="1" x14ac:dyDescent="0.35">
      <c r="C76" s="217" t="s">
        <v>248</v>
      </c>
      <c r="D76" s="218" t="s">
        <v>249</v>
      </c>
      <c r="E76" s="219" t="s">
        <v>250</v>
      </c>
      <c r="G76" s="192" t="str">
        <f>+'SALIDAS Y TRANSFORMACION'!B9</f>
        <v>Llano Sánchez 230</v>
      </c>
      <c r="H76" s="709">
        <f>+H73-H74-H75</f>
        <v>12345375.418864001</v>
      </c>
    </row>
    <row r="77" spans="2:11" x14ac:dyDescent="0.25">
      <c r="B77" s="220" t="s">
        <v>253</v>
      </c>
      <c r="C77" s="221">
        <v>230411895.76401484</v>
      </c>
      <c r="D77" s="222">
        <v>348431106.74645525</v>
      </c>
      <c r="E77" s="223">
        <v>385512053.64238614</v>
      </c>
    </row>
    <row r="78" spans="2:11" x14ac:dyDescent="0.25">
      <c r="B78" s="225" t="s">
        <v>256</v>
      </c>
      <c r="C78" s="226">
        <v>4114080</v>
      </c>
      <c r="D78" s="227">
        <v>6494763.1425745506</v>
      </c>
      <c r="E78" s="228">
        <v>7482446.0167909563</v>
      </c>
    </row>
    <row r="79" spans="2:11" x14ac:dyDescent="0.25">
      <c r="B79" s="225" t="s">
        <v>259</v>
      </c>
      <c r="C79" s="226">
        <v>165196416.07344368</v>
      </c>
      <c r="D79" s="227">
        <v>245530481.49300849</v>
      </c>
      <c r="E79" s="228">
        <v>300751737.30438381</v>
      </c>
    </row>
    <row r="80" spans="2:11" x14ac:dyDescent="0.25">
      <c r="B80" s="225" t="s">
        <v>262</v>
      </c>
      <c r="C80" s="226">
        <v>27733774.29710488</v>
      </c>
      <c r="D80" s="227">
        <v>49089337.133500792</v>
      </c>
      <c r="E80" s="228">
        <v>59839508.611118525</v>
      </c>
    </row>
    <row r="81" spans="2:5" ht="15.75" thickBot="1" x14ac:dyDescent="0.3">
      <c r="B81" s="229" t="s">
        <v>265</v>
      </c>
      <c r="C81" s="230" t="s">
        <v>266</v>
      </c>
      <c r="D81" s="231">
        <v>12328578.80273428</v>
      </c>
      <c r="E81" s="232">
        <v>14395727.970717791</v>
      </c>
    </row>
    <row r="82" spans="2:5" ht="15.75" thickBot="1" x14ac:dyDescent="0.3">
      <c r="B82" s="233" t="s">
        <v>11</v>
      </c>
      <c r="C82" s="234">
        <v>427456166.13456339</v>
      </c>
      <c r="D82" s="235">
        <v>661874267.31827343</v>
      </c>
      <c r="E82" s="236">
        <v>767981473.54539716</v>
      </c>
    </row>
    <row r="90" spans="2:5" x14ac:dyDescent="0.25">
      <c r="C90" s="192" t="s">
        <v>249</v>
      </c>
      <c r="D90" s="238">
        <f>+D77+D79+D81</f>
        <v>606290167.04219806</v>
      </c>
    </row>
    <row r="91" spans="2:5" x14ac:dyDescent="0.25">
      <c r="C91" s="192" t="s">
        <v>272</v>
      </c>
      <c r="D91" s="238">
        <f>+'[3]Plan de Expansión'!C10*1000+'[3]Plan de Expansión'!D10*10000</f>
        <v>171483000</v>
      </c>
    </row>
    <row r="92" spans="2:5" x14ac:dyDescent="0.25">
      <c r="C92" s="239" t="s">
        <v>268</v>
      </c>
      <c r="D92" s="240">
        <f>+D90+D91</f>
        <v>777773167.04219806</v>
      </c>
    </row>
    <row r="94" spans="2:5" x14ac:dyDescent="0.25">
      <c r="C94" s="192" t="s">
        <v>269</v>
      </c>
      <c r="D94" s="241">
        <f>+VNR_Lineas</f>
        <v>375272422.70262027</v>
      </c>
    </row>
    <row r="95" spans="2:5" x14ac:dyDescent="0.25">
      <c r="C95" s="192" t="s">
        <v>270</v>
      </c>
      <c r="D95" s="241">
        <f>+F30</f>
        <v>327250502.4926365</v>
      </c>
    </row>
    <row r="96" spans="2:5" x14ac:dyDescent="0.25">
      <c r="C96" s="192" t="s">
        <v>271</v>
      </c>
      <c r="D96" s="241">
        <f>+F36</f>
        <v>36672308.815588608</v>
      </c>
    </row>
    <row r="97" spans="3:4" x14ac:dyDescent="0.25">
      <c r="C97" s="239" t="s">
        <v>268</v>
      </c>
      <c r="D97" s="242">
        <f>+VNR_Lineas+F30+F36</f>
        <v>739195234.0108453</v>
      </c>
    </row>
  </sheetData>
  <mergeCells count="10">
    <mergeCell ref="S14:S16"/>
    <mergeCell ref="Q27:Q30"/>
    <mergeCell ref="R27:R30"/>
    <mergeCell ref="S27:S30"/>
    <mergeCell ref="Q34:R34"/>
    <mergeCell ref="Q43:R43"/>
    <mergeCell ref="Q51:R51"/>
    <mergeCell ref="Q12:R12"/>
    <mergeCell ref="Q14:Q16"/>
    <mergeCell ref="R14:R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-0.249977111117893"/>
  </sheetPr>
  <dimension ref="A1:S29"/>
  <sheetViews>
    <sheetView showGridLines="0" zoomScale="70" zoomScaleNormal="70" workbookViewId="0">
      <selection activeCell="E21" sqref="E21"/>
    </sheetView>
  </sheetViews>
  <sheetFormatPr baseColWidth="10" defaultColWidth="11.42578125" defaultRowHeight="12.75" x14ac:dyDescent="0.2"/>
  <cols>
    <col min="1" max="1" width="38.42578125" customWidth="1"/>
    <col min="2" max="2" width="17.7109375" customWidth="1"/>
    <col min="3" max="3" width="14.42578125" customWidth="1"/>
    <col min="4" max="4" width="13.42578125" customWidth="1"/>
    <col min="5" max="5" width="11.7109375" customWidth="1"/>
    <col min="7" max="7" width="12.7109375" customWidth="1"/>
    <col min="8" max="8" width="11.28515625" customWidth="1"/>
    <col min="9" max="9" width="17.5703125" customWidth="1"/>
    <col min="10" max="10" width="11.7109375" customWidth="1"/>
    <col min="11" max="11" width="23.28515625" customWidth="1"/>
    <col min="12" max="12" width="15.5703125" bestFit="1" customWidth="1"/>
    <col min="13" max="13" width="17.7109375" customWidth="1"/>
    <col min="17" max="17" width="16.42578125" bestFit="1" customWidth="1"/>
    <col min="18" max="18" width="14.7109375" customWidth="1"/>
    <col min="19" max="19" width="15.28515625" customWidth="1"/>
  </cols>
  <sheetData>
    <row r="1" spans="1:19" ht="18" x14ac:dyDescent="0.25">
      <c r="A1" s="1696" t="s">
        <v>12</v>
      </c>
      <c r="B1" s="1696"/>
      <c r="C1" s="1696"/>
      <c r="D1" s="1696"/>
      <c r="E1" s="1696"/>
      <c r="F1" s="1696"/>
      <c r="G1" s="1696"/>
      <c r="H1" s="1696"/>
      <c r="I1" s="1696"/>
      <c r="J1" s="1696"/>
      <c r="K1" s="1696"/>
    </row>
    <row r="2" spans="1:19" ht="39.6" customHeight="1" thickBot="1" x14ac:dyDescent="0.25">
      <c r="A2" s="1697" t="s">
        <v>22</v>
      </c>
      <c r="B2" s="1697"/>
      <c r="C2" s="1697"/>
      <c r="D2" s="1697"/>
      <c r="E2" s="1697"/>
      <c r="F2" s="1697"/>
      <c r="G2" s="1697"/>
      <c r="H2" s="1697"/>
      <c r="I2" s="1697"/>
      <c r="J2" s="1697"/>
      <c r="K2" s="1697"/>
    </row>
    <row r="3" spans="1:19" ht="27.6" customHeight="1" x14ac:dyDescent="0.2">
      <c r="A3" s="1698" t="s">
        <v>24</v>
      </c>
      <c r="B3" s="1699"/>
      <c r="C3" s="1699"/>
      <c r="D3" s="1699"/>
      <c r="E3" s="1706" t="s">
        <v>74</v>
      </c>
      <c r="F3" s="1707"/>
      <c r="G3" s="1707"/>
      <c r="H3" s="1707"/>
      <c r="I3" s="1707"/>
      <c r="J3" s="1707"/>
      <c r="K3" s="1708"/>
    </row>
    <row r="4" spans="1:19" ht="27.6" customHeight="1" thickBot="1" x14ac:dyDescent="0.25">
      <c r="A4" s="1700"/>
      <c r="B4" s="1701"/>
      <c r="C4" s="1701"/>
      <c r="D4" s="1701"/>
      <c r="E4" s="3"/>
      <c r="K4" s="8"/>
    </row>
    <row r="5" spans="1:19" ht="27.6" customHeight="1" x14ac:dyDescent="0.2">
      <c r="A5" s="1700"/>
      <c r="B5" s="1701"/>
      <c r="C5" s="1701"/>
      <c r="D5" s="1701"/>
      <c r="E5" s="1706" t="s">
        <v>75</v>
      </c>
      <c r="F5" s="1707"/>
      <c r="G5" s="1707"/>
      <c r="H5" s="1707"/>
      <c r="I5" s="1707"/>
      <c r="J5" s="1707"/>
      <c r="K5" s="1708"/>
      <c r="Q5" s="294" t="e">
        <f>+#REF!</f>
        <v>#REF!</v>
      </c>
      <c r="R5" s="74"/>
      <c r="S5" s="74">
        <v>0.57425000000000004</v>
      </c>
    </row>
    <row r="6" spans="1:19" ht="27.6" customHeight="1" thickBot="1" x14ac:dyDescent="0.25">
      <c r="A6" s="1702"/>
      <c r="B6" s="1703"/>
      <c r="C6" s="1703"/>
      <c r="D6" s="1703"/>
      <c r="E6" s="9"/>
      <c r="F6" s="6"/>
      <c r="G6" s="6"/>
      <c r="H6" s="6"/>
      <c r="I6" s="6"/>
      <c r="J6" s="6"/>
      <c r="K6" s="7"/>
      <c r="Q6" s="74"/>
      <c r="R6" s="74"/>
      <c r="S6" s="295">
        <v>0.57499999999999996</v>
      </c>
    </row>
    <row r="7" spans="1:19" ht="18" customHeight="1" thickBot="1" x14ac:dyDescent="0.25">
      <c r="A7" s="37"/>
      <c r="B7" s="37"/>
      <c r="C7" s="37"/>
      <c r="D7" s="37"/>
      <c r="H7" s="6"/>
    </row>
    <row r="8" spans="1:19" ht="26.65" customHeight="1" x14ac:dyDescent="0.2">
      <c r="A8" s="1695" t="s">
        <v>1043</v>
      </c>
      <c r="B8" s="1695" t="s">
        <v>16</v>
      </c>
      <c r="C8" s="1709" t="s">
        <v>1</v>
      </c>
      <c r="D8" s="1709" t="s">
        <v>136</v>
      </c>
      <c r="E8" s="1704" t="s">
        <v>81</v>
      </c>
      <c r="F8" s="1705" t="s">
        <v>112</v>
      </c>
      <c r="G8" s="1705" t="s">
        <v>113</v>
      </c>
      <c r="H8" s="1705" t="s">
        <v>114</v>
      </c>
      <c r="I8" s="1705" t="s">
        <v>72</v>
      </c>
      <c r="J8" s="52"/>
      <c r="K8" s="1695" t="s">
        <v>73</v>
      </c>
      <c r="L8" s="1694" t="s">
        <v>70</v>
      </c>
      <c r="M8" s="1695" t="s">
        <v>111</v>
      </c>
      <c r="N8" s="162"/>
      <c r="O8" s="160" t="s">
        <v>144</v>
      </c>
      <c r="Q8" s="1692" t="s">
        <v>138</v>
      </c>
    </row>
    <row r="9" spans="1:19" ht="16.899999999999999" customHeight="1" x14ac:dyDescent="0.2">
      <c r="A9" s="1695"/>
      <c r="B9" s="1695"/>
      <c r="C9" s="1710"/>
      <c r="D9" s="1710"/>
      <c r="E9" s="1704"/>
      <c r="F9" s="1705"/>
      <c r="G9" s="1705"/>
      <c r="H9" s="1705"/>
      <c r="I9" s="1705"/>
      <c r="J9" s="53"/>
      <c r="K9" s="1695"/>
      <c r="L9" s="1694"/>
      <c r="M9" s="1695"/>
      <c r="N9" s="162"/>
      <c r="O9" s="160"/>
      <c r="Q9" s="1693"/>
    </row>
    <row r="10" spans="1:19" ht="18.75" customHeight="1" thickBot="1" x14ac:dyDescent="0.3">
      <c r="A10" s="56" t="s">
        <v>14</v>
      </c>
      <c r="B10" s="54"/>
      <c r="C10" s="151"/>
      <c r="D10" s="54"/>
      <c r="E10" s="152"/>
      <c r="F10" s="72">
        <f>+'IMP Existente APROBADO'!E7</f>
        <v>1.7463481823484322E-2</v>
      </c>
      <c r="G10" s="72">
        <f>+'IMP Existente APROBADO'!E8</f>
        <v>8.2319969859183714E-3</v>
      </c>
      <c r="H10" s="253">
        <f>+'IMP Existente APROBADO'!D10</f>
        <v>3.2314329354868353E-2</v>
      </c>
      <c r="I10" s="72">
        <f>+'IMP Existente APROBADO'!RRT</f>
        <v>9.6000000000000002E-2</v>
      </c>
      <c r="J10" s="73"/>
      <c r="K10" s="55"/>
      <c r="L10" s="258">
        <f>+'IPCT VNR_FA'!C27</f>
        <v>0.64476329472177196</v>
      </c>
      <c r="M10" s="55"/>
      <c r="N10" s="270"/>
      <c r="O10" s="161"/>
      <c r="Q10" s="1458"/>
    </row>
    <row r="11" spans="1:19" ht="17.649999999999999" customHeight="1" x14ac:dyDescent="0.2">
      <c r="A11" s="1169" t="s">
        <v>3</v>
      </c>
      <c r="B11" s="892"/>
      <c r="C11" s="1165"/>
      <c r="D11" s="892"/>
      <c r="E11" s="1165"/>
      <c r="F11" s="1166"/>
      <c r="G11" s="1167"/>
      <c r="H11" s="1166"/>
      <c r="I11" s="1168"/>
      <c r="J11" s="40"/>
      <c r="K11" s="893"/>
      <c r="L11" s="1166"/>
      <c r="M11" s="1168"/>
      <c r="N11" s="163"/>
      <c r="Q11" s="1459"/>
    </row>
    <row r="12" spans="1:19" ht="18" x14ac:dyDescent="0.25">
      <c r="A12" s="1170" t="s">
        <v>82</v>
      </c>
      <c r="B12" s="4" t="str">
        <f>+[8]VNR2004!B8</f>
        <v>Miles B/./Salida</v>
      </c>
      <c r="C12" s="42">
        <f>+' VNR'!C5+' VNR'!C27</f>
        <v>9153.9769634274617</v>
      </c>
      <c r="D12" s="4">
        <f>+' VNR'!D5+' VNR'!D27</f>
        <v>6</v>
      </c>
      <c r="E12" s="42">
        <f>+C12/D12</f>
        <v>1525.6628272379103</v>
      </c>
      <c r="F12" s="4">
        <f>$E12*$F$10</f>
        <v>26.643385052234947</v>
      </c>
      <c r="G12" s="43">
        <f>+$E12*$G$10</f>
        <v>12.559251795350178</v>
      </c>
      <c r="H12" s="4">
        <f>$E12*$H$10</f>
        <v>49.300771083845447</v>
      </c>
      <c r="I12" s="57">
        <f>$E12*$I$10</f>
        <v>146.4636314148394</v>
      </c>
      <c r="J12" s="41"/>
      <c r="K12" s="115">
        <f>+F12+G12+H12+I12</f>
        <v>234.96703934626998</v>
      </c>
      <c r="L12" s="58"/>
      <c r="M12" s="147">
        <f>ROUND(+K12*$L$10,2)</f>
        <v>151.5</v>
      </c>
      <c r="N12" s="164"/>
      <c r="O12" s="170">
        <v>12</v>
      </c>
      <c r="P12" s="62"/>
      <c r="Q12" s="155">
        <f>+M12*D12/12*O12</f>
        <v>909</v>
      </c>
    </row>
    <row r="13" spans="1:19" ht="18" x14ac:dyDescent="0.25">
      <c r="A13" s="1170" t="s">
        <v>83</v>
      </c>
      <c r="B13" s="4" t="str">
        <f>+[8]VNR2004!B9</f>
        <v>Miles B/./Salida</v>
      </c>
      <c r="C13" s="42">
        <f>+' VNR'!C6</f>
        <v>33763.579456221967</v>
      </c>
      <c r="D13" s="4">
        <f>+' VNR'!D6</f>
        <v>14</v>
      </c>
      <c r="E13" s="42">
        <f t="shared" ref="E13:E15" si="0">+C13/D13</f>
        <v>2411.6842468729978</v>
      </c>
      <c r="F13" s="4">
        <f t="shared" ref="F13:F23" si="1">$E13*$F$10</f>
        <v>42.116404009250076</v>
      </c>
      <c r="G13" s="43">
        <f t="shared" ref="G13:G23" si="2">+$E13*$G$10</f>
        <v>19.852977451245337</v>
      </c>
      <c r="H13" s="4">
        <f t="shared" ref="H13:H23" si="3">$E13*$H$10</f>
        <v>77.931959053401684</v>
      </c>
      <c r="I13" s="57">
        <f t="shared" ref="I13:I23" si="4">$E13*$I$10</f>
        <v>231.52168769980779</v>
      </c>
      <c r="J13" s="41"/>
      <c r="K13" s="115">
        <f t="shared" ref="K13:K16" si="5">+F13+G13+H13+I13</f>
        <v>371.42302821370487</v>
      </c>
      <c r="L13" s="58"/>
      <c r="M13" s="147">
        <f t="shared" ref="M13:M15" si="6">ROUND(+K13*$L$10,2)</f>
        <v>239.48</v>
      </c>
      <c r="N13" s="164"/>
      <c r="O13" s="170">
        <v>12</v>
      </c>
      <c r="Q13" s="155">
        <f>+M13*D13/12*O13</f>
        <v>3352.72</v>
      </c>
    </row>
    <row r="14" spans="1:19" ht="18" x14ac:dyDescent="0.25">
      <c r="A14" s="1170" t="s">
        <v>84</v>
      </c>
      <c r="B14" s="4" t="str">
        <f>+[8]VNR2004!B10</f>
        <v>Miles B/./Salida</v>
      </c>
      <c r="C14" s="42">
        <f>+' VNR'!C7</f>
        <v>1313.6501315770911</v>
      </c>
      <c r="D14" s="4">
        <f>+' VNR'!D7</f>
        <v>1</v>
      </c>
      <c r="E14" s="42">
        <f t="shared" si="0"/>
        <v>1313.6501315770911</v>
      </c>
      <c r="F14" s="4">
        <f t="shared" si="1"/>
        <v>22.940905195214317</v>
      </c>
      <c r="G14" s="43">
        <f t="shared" si="2"/>
        <v>10.813963923693885</v>
      </c>
      <c r="H14" s="4">
        <f t="shared" si="3"/>
        <v>42.449723008848267</v>
      </c>
      <c r="I14" s="57">
        <f t="shared" si="4"/>
        <v>126.11041263140075</v>
      </c>
      <c r="J14" s="41"/>
      <c r="K14" s="115">
        <f t="shared" si="5"/>
        <v>202.3150047591572</v>
      </c>
      <c r="L14" s="58"/>
      <c r="M14" s="147">
        <f t="shared" si="6"/>
        <v>130.44999999999999</v>
      </c>
      <c r="N14" s="164"/>
      <c r="O14" s="170">
        <v>12</v>
      </c>
      <c r="Q14" s="155">
        <f t="shared" ref="Q14:Q15" si="7">+M14*D14/12*O14</f>
        <v>130.44999999999999</v>
      </c>
    </row>
    <row r="15" spans="1:19" ht="18" x14ac:dyDescent="0.25">
      <c r="A15" s="1170" t="s">
        <v>85</v>
      </c>
      <c r="B15" s="4" t="str">
        <f>+[8]VNR2004!B11</f>
        <v>Miles B/./Salida</v>
      </c>
      <c r="C15" s="42">
        <f>+' VNR'!C8</f>
        <v>8393.2001777465612</v>
      </c>
      <c r="D15" s="4">
        <f>+' VNR'!D8</f>
        <v>3</v>
      </c>
      <c r="E15" s="42">
        <f t="shared" si="0"/>
        <v>2797.7333925821872</v>
      </c>
      <c r="F15" s="4">
        <f t="shared" si="1"/>
        <v>48.858166248314156</v>
      </c>
      <c r="G15" s="43">
        <f t="shared" si="2"/>
        <v>23.030932855139746</v>
      </c>
      <c r="H15" s="4">
        <f t="shared" si="3"/>
        <v>90.406878295013996</v>
      </c>
      <c r="I15" s="57">
        <f t="shared" si="4"/>
        <v>268.58240568789</v>
      </c>
      <c r="J15" s="41"/>
      <c r="K15" s="115">
        <f t="shared" si="5"/>
        <v>430.87838308635787</v>
      </c>
      <c r="L15" s="58"/>
      <c r="M15" s="147">
        <f t="shared" si="6"/>
        <v>277.81</v>
      </c>
      <c r="N15" s="164"/>
      <c r="O15" s="170">
        <v>12</v>
      </c>
      <c r="Q15" s="155">
        <f t="shared" si="7"/>
        <v>833.43000000000006</v>
      </c>
    </row>
    <row r="16" spans="1:19" ht="18" x14ac:dyDescent="0.25">
      <c r="A16" s="1822" t="s">
        <v>86</v>
      </c>
      <c r="B16" s="39" t="s">
        <v>64</v>
      </c>
      <c r="C16" s="42">
        <f>+' VNR'!C9+' VNR'!C31/2</f>
        <v>25706.278150338898</v>
      </c>
      <c r="D16" s="4">
        <f>+' VNR'!D9+' VNR'!D31/2</f>
        <v>9.5</v>
      </c>
      <c r="E16" s="42">
        <f t="shared" ref="E16" si="8">+C16/D16</f>
        <v>2705.9240158251473</v>
      </c>
      <c r="F16" s="4">
        <f t="shared" si="1"/>
        <v>47.25485486609216</v>
      </c>
      <c r="G16" s="43">
        <f t="shared" si="2"/>
        <v>22.275158342396747</v>
      </c>
      <c r="H16" s="4">
        <f t="shared" si="3"/>
        <v>87.44011985662182</v>
      </c>
      <c r="I16" s="57">
        <f t="shared" si="4"/>
        <v>259.76870551921417</v>
      </c>
      <c r="J16" s="41"/>
      <c r="K16" s="115">
        <f t="shared" si="5"/>
        <v>416.73883858432487</v>
      </c>
      <c r="L16" s="58"/>
      <c r="M16" s="147">
        <f>ROUND(+K16*$L$10,2)</f>
        <v>268.7</v>
      </c>
      <c r="N16" s="164"/>
      <c r="O16" s="170">
        <v>12</v>
      </c>
      <c r="Q16" s="155">
        <f t="shared" ref="Q16" si="9">+M16*D16/12*O16</f>
        <v>2552.65</v>
      </c>
    </row>
    <row r="17" spans="1:17" ht="18" x14ac:dyDescent="0.25">
      <c r="A17" s="156" t="s">
        <v>4</v>
      </c>
      <c r="B17" s="4"/>
      <c r="C17" s="42"/>
      <c r="D17" s="4"/>
      <c r="E17" s="42"/>
      <c r="F17" s="4"/>
      <c r="G17" s="43"/>
      <c r="H17" s="4"/>
      <c r="I17" s="57"/>
      <c r="J17" s="41"/>
      <c r="K17" s="115"/>
      <c r="L17" s="58"/>
      <c r="M17" s="59"/>
      <c r="N17" s="164"/>
      <c r="O17" s="170">
        <v>12</v>
      </c>
      <c r="Q17" s="155"/>
    </row>
    <row r="18" spans="1:17" ht="18" x14ac:dyDescent="0.25">
      <c r="A18" s="63" t="str">
        <f>+' VNR'!B12</f>
        <v>CXTR Reductor 60/80/100 MVA</v>
      </c>
      <c r="B18" s="4" t="s">
        <v>91</v>
      </c>
      <c r="C18" s="42">
        <f>+' VNR'!C12</f>
        <v>4453.6182377634577</v>
      </c>
      <c r="D18" s="4">
        <f>+' VNR'!D12</f>
        <v>600</v>
      </c>
      <c r="E18" s="42">
        <f t="shared" ref="E18:E23" si="10">+C18/D18</f>
        <v>7.422697062939096</v>
      </c>
      <c r="F18" s="4">
        <f t="shared" si="1"/>
        <v>0.12962613523986735</v>
      </c>
      <c r="G18" s="43">
        <f t="shared" si="2"/>
        <v>6.1103619849499788E-2</v>
      </c>
      <c r="H18" s="4">
        <f t="shared" si="3"/>
        <v>0.23985947759322793</v>
      </c>
      <c r="I18" s="57">
        <f t="shared" si="4"/>
        <v>0.71257891804215323</v>
      </c>
      <c r="J18" s="41"/>
      <c r="K18" s="116">
        <f>+G18+F18+H18+I18</f>
        <v>1.1431681507247484</v>
      </c>
      <c r="L18" s="58"/>
      <c r="M18" s="147">
        <f>ROUND(+K18*$L$10,2)</f>
        <v>0.74</v>
      </c>
      <c r="N18" s="164"/>
      <c r="O18" s="170">
        <v>12</v>
      </c>
      <c r="Q18" s="155">
        <f t="shared" ref="Q18" si="11">+M18*D18/12*O18</f>
        <v>444</v>
      </c>
    </row>
    <row r="19" spans="1:17" x14ac:dyDescent="0.2">
      <c r="A19" s="64" t="s">
        <v>5</v>
      </c>
      <c r="B19" s="4" t="s">
        <v>91</v>
      </c>
      <c r="C19" s="42"/>
      <c r="D19" s="4"/>
      <c r="E19" s="42"/>
      <c r="F19" s="4"/>
      <c r="G19" s="43"/>
      <c r="H19" s="4"/>
      <c r="I19" s="57"/>
      <c r="J19" s="41"/>
      <c r="K19" s="116"/>
      <c r="L19" s="58"/>
      <c r="M19" s="59"/>
      <c r="N19" s="164"/>
      <c r="O19" s="164"/>
      <c r="Q19" s="155"/>
    </row>
    <row r="20" spans="1:17" x14ac:dyDescent="0.2">
      <c r="A20" s="64" t="s">
        <v>6</v>
      </c>
      <c r="B20" s="4" t="s">
        <v>91</v>
      </c>
      <c r="C20" s="42"/>
      <c r="D20" s="4"/>
      <c r="E20" s="42"/>
      <c r="F20" s="4"/>
      <c r="G20" s="43"/>
      <c r="H20" s="4"/>
      <c r="I20" s="57"/>
      <c r="J20" s="41"/>
      <c r="K20" s="116"/>
      <c r="L20" s="58"/>
      <c r="M20" s="59"/>
      <c r="N20" s="164"/>
      <c r="O20" s="164"/>
      <c r="Q20" s="155"/>
    </row>
    <row r="21" spans="1:17" ht="18" x14ac:dyDescent="0.25">
      <c r="A21" s="64" t="s">
        <v>1049</v>
      </c>
      <c r="B21" s="1609" t="s">
        <v>91</v>
      </c>
      <c r="C21" s="42">
        <f>+' VNR'!C15</f>
        <v>2522.2986042971866</v>
      </c>
      <c r="D21" s="4">
        <f>+' VNR'!D15</f>
        <v>24</v>
      </c>
      <c r="E21" s="42">
        <f>+C21/D21</f>
        <v>105.09577517904944</v>
      </c>
      <c r="F21" s="4">
        <f t="shared" si="1"/>
        <v>1.8353381595643246</v>
      </c>
      <c r="G21" s="43">
        <f t="shared" si="2"/>
        <v>0.86514810450668977</v>
      </c>
      <c r="H21" s="4">
        <f t="shared" si="3"/>
        <v>3.3960994929410022</v>
      </c>
      <c r="I21" s="57">
        <f t="shared" si="4"/>
        <v>10.089194417188747</v>
      </c>
      <c r="J21" s="41"/>
      <c r="K21" s="116">
        <f>+G21+F21+H21+I21</f>
        <v>16.185780174200765</v>
      </c>
      <c r="L21" s="58"/>
      <c r="M21" s="147">
        <f t="shared" ref="M21" si="12">ROUND(+K21*$L$10,2)</f>
        <v>10.44</v>
      </c>
      <c r="N21" s="164"/>
      <c r="O21" s="170">
        <v>12</v>
      </c>
      <c r="Q21" s="155">
        <f t="shared" ref="Q21" si="13">+M21*D21/12*O21</f>
        <v>250.56</v>
      </c>
    </row>
    <row r="22" spans="1:17" ht="18" x14ac:dyDescent="0.25">
      <c r="A22" s="1171" t="s">
        <v>7</v>
      </c>
      <c r="B22" s="117" t="s">
        <v>10</v>
      </c>
      <c r="C22" s="42"/>
      <c r="D22" s="117"/>
      <c r="E22" s="42"/>
      <c r="F22" s="4"/>
      <c r="G22" s="43"/>
      <c r="H22" s="4"/>
      <c r="I22" s="57"/>
      <c r="J22" s="41"/>
      <c r="K22" s="116"/>
      <c r="L22" s="58"/>
      <c r="M22" s="59"/>
      <c r="N22" s="164"/>
      <c r="O22" s="170">
        <v>12</v>
      </c>
      <c r="P22" s="10"/>
      <c r="Q22" s="155"/>
    </row>
    <row r="23" spans="1:17" ht="18" x14ac:dyDescent="0.25">
      <c r="A23" s="1172" t="s">
        <v>115</v>
      </c>
      <c r="B23" s="4" t="str">
        <f>+[8]VNR2004!B21</f>
        <v>Miles B/./km</v>
      </c>
      <c r="C23" s="42">
        <f>+' VNR'!C19</f>
        <v>10655.961662479996</v>
      </c>
      <c r="D23" s="4">
        <f>SUM(' VNR'!E62+' VNR'!E63+' VNR'!E64+' VNR'!E65)</f>
        <v>36.129999999999995</v>
      </c>
      <c r="E23" s="42">
        <f t="shared" si="10"/>
        <v>294.93389599999995</v>
      </c>
      <c r="F23" s="4">
        <f t="shared" si="1"/>
        <v>5.150572731925414</v>
      </c>
      <c r="G23" s="43">
        <f t="shared" si="2"/>
        <v>2.4278949429171619</v>
      </c>
      <c r="H23" s="4">
        <f t="shared" si="3"/>
        <v>9.5305910532584885</v>
      </c>
      <c r="I23" s="57">
        <f t="shared" si="4"/>
        <v>28.313654015999994</v>
      </c>
      <c r="J23" s="41"/>
      <c r="K23" s="115">
        <f t="shared" ref="K23" si="14">+F23+G23+H23+I23</f>
        <v>45.422712744101062</v>
      </c>
      <c r="L23" s="58"/>
      <c r="M23" s="147">
        <f>ROUND(+K23*$L$10,2)</f>
        <v>29.29</v>
      </c>
      <c r="N23" s="164"/>
      <c r="O23" s="170">
        <v>12</v>
      </c>
      <c r="P23" s="10"/>
      <c r="Q23" s="155">
        <f t="shared" ref="Q23" si="15">+M23*D23/12*O23</f>
        <v>1058.2476999999999</v>
      </c>
    </row>
    <row r="24" spans="1:17" ht="18" x14ac:dyDescent="0.25">
      <c r="A24" s="1548" t="s">
        <v>1054</v>
      </c>
      <c r="B24" s="39" t="s">
        <v>116</v>
      </c>
      <c r="C24" s="4">
        <f>+' VNR'!C20</f>
        <v>23578.236586629999</v>
      </c>
      <c r="D24" s="57">
        <f>+' VNR'!E60</f>
        <v>33.969999999999992</v>
      </c>
      <c r="E24" s="42">
        <f t="shared" ref="E24" si="16">+C24/D24</f>
        <v>694.08997900000008</v>
      </c>
      <c r="F24" s="4">
        <f t="shared" ref="F24" si="17">$E24*$F$10</f>
        <v>12.121227732129116</v>
      </c>
      <c r="G24" s="43">
        <f t="shared" ref="G24" si="18">+$E24*$G$10</f>
        <v>5.7137466150841467</v>
      </c>
      <c r="H24" s="4">
        <f t="shared" ref="H24" si="19">$E24*$H$10</f>
        <v>22.429052183319662</v>
      </c>
      <c r="I24" s="57">
        <f t="shared" ref="I24" si="20">$E24*$I$10</f>
        <v>66.632637984000013</v>
      </c>
      <c r="J24" s="41"/>
      <c r="K24" s="115">
        <f t="shared" ref="K24" si="21">+F24+G24+H24+I24</f>
        <v>106.89666451453294</v>
      </c>
      <c r="L24" s="61"/>
      <c r="M24" s="60">
        <f t="shared" ref="M24" si="22">ROUND(+K24*$L$10,2)</f>
        <v>68.92</v>
      </c>
      <c r="N24" s="165"/>
      <c r="O24" s="170">
        <v>12</v>
      </c>
      <c r="Q24" s="155">
        <f t="shared" ref="Q24" si="23">+M24*D24/12*O24</f>
        <v>2341.2123999999994</v>
      </c>
    </row>
    <row r="25" spans="1:17" x14ac:dyDescent="0.2">
      <c r="A25" s="51"/>
      <c r="B25" s="157"/>
      <c r="C25" s="157">
        <f>SUM(C12:C24)</f>
        <v>119540.79997048262</v>
      </c>
      <c r="D25" s="157"/>
      <c r="E25" s="157"/>
      <c r="F25" s="157"/>
      <c r="G25" s="158"/>
      <c r="H25" s="157"/>
      <c r="I25" s="157"/>
      <c r="K25" s="158"/>
      <c r="L25" s="5"/>
      <c r="M25" s="159"/>
      <c r="N25" s="159"/>
      <c r="O25" s="159"/>
      <c r="Q25" s="157"/>
    </row>
    <row r="26" spans="1:17" x14ac:dyDescent="0.2">
      <c r="A26" s="51"/>
      <c r="C26" s="15"/>
      <c r="P26" t="s">
        <v>11</v>
      </c>
      <c r="Q26" s="15">
        <f>SUM(Q12:Q24)</f>
        <v>11872.270099999998</v>
      </c>
    </row>
    <row r="27" spans="1:17" x14ac:dyDescent="0.2">
      <c r="K27" s="168"/>
    </row>
    <row r="28" spans="1:17" ht="15" x14ac:dyDescent="0.35">
      <c r="K28" s="169"/>
      <c r="Q28" s="723"/>
    </row>
    <row r="29" spans="1:17" x14ac:dyDescent="0.2">
      <c r="Q29" s="15"/>
    </row>
  </sheetData>
  <mergeCells count="18">
    <mergeCell ref="C8:C9"/>
    <mergeCell ref="D8:D9"/>
    <mergeCell ref="Q8:Q9"/>
    <mergeCell ref="L8:L9"/>
    <mergeCell ref="M8:M9"/>
    <mergeCell ref="A1:K1"/>
    <mergeCell ref="A2:K2"/>
    <mergeCell ref="A3:D6"/>
    <mergeCell ref="E8:E9"/>
    <mergeCell ref="K8:K9"/>
    <mergeCell ref="I8:I9"/>
    <mergeCell ref="H8:H9"/>
    <mergeCell ref="G8:G9"/>
    <mergeCell ref="A8:A9"/>
    <mergeCell ref="B8:B9"/>
    <mergeCell ref="E3:K3"/>
    <mergeCell ref="E5:K5"/>
    <mergeCell ref="F8:F9"/>
  </mergeCells>
  <phoneticPr fontId="0" type="noConversion"/>
  <printOptions horizontalCentered="1" verticalCentered="1"/>
  <pageMargins left="0.62992125984251968" right="0.62992125984251968" top="1" bottom="1.3779527559055118" header="0" footer="1.0629921259842521"/>
  <pageSetup scale="65" orientation="landscape" r:id="rId1"/>
  <headerFooter alignWithMargins="0">
    <oddHeader>&amp;F</oddHeader>
    <oddFooter>&amp;L&amp;8HOJA:  &amp;A&amp;R&amp;D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J52"/>
  <sheetViews>
    <sheetView workbookViewId="0">
      <selection activeCell="E49" sqref="E49"/>
    </sheetView>
  </sheetViews>
  <sheetFormatPr baseColWidth="10" defaultColWidth="11.42578125" defaultRowHeight="15" x14ac:dyDescent="0.25"/>
  <cols>
    <col min="1" max="3" width="11.42578125" style="955"/>
    <col min="4" max="4" width="25.42578125" style="955" customWidth="1"/>
    <col min="5" max="5" width="19.28515625" style="955" customWidth="1"/>
    <col min="6" max="6" width="11.42578125" style="955"/>
    <col min="7" max="7" width="19.28515625" style="955" customWidth="1"/>
    <col min="8" max="9" width="11.42578125" style="955"/>
    <col min="10" max="10" width="13.5703125" style="955" bestFit="1" customWidth="1"/>
    <col min="11" max="16384" width="11.42578125" style="955"/>
  </cols>
  <sheetData>
    <row r="2" spans="2:10" ht="21" x14ac:dyDescent="0.35">
      <c r="B2" s="954" t="s">
        <v>629</v>
      </c>
    </row>
    <row r="3" spans="2:10" ht="21" x14ac:dyDescent="0.35">
      <c r="B3" s="954" t="s">
        <v>630</v>
      </c>
    </row>
    <row r="4" spans="2:10" ht="21" x14ac:dyDescent="0.35">
      <c r="B4" s="954" t="s">
        <v>631</v>
      </c>
    </row>
    <row r="5" spans="2:10" ht="16.5" thickBot="1" x14ac:dyDescent="0.3">
      <c r="B5" s="956">
        <v>42917</v>
      </c>
      <c r="C5" s="957"/>
      <c r="D5" s="958"/>
      <c r="E5" s="959"/>
      <c r="F5" s="959"/>
      <c r="G5" s="959"/>
    </row>
    <row r="6" spans="2:10" ht="16.5" thickTop="1" x14ac:dyDescent="0.25">
      <c r="B6" s="1812" t="s">
        <v>632</v>
      </c>
      <c r="C6" s="1812"/>
      <c r="D6" s="1812"/>
      <c r="E6" s="960">
        <v>2222502.77</v>
      </c>
      <c r="F6" s="960">
        <v>0</v>
      </c>
      <c r="G6" s="960">
        <v>2222502.77</v>
      </c>
    </row>
    <row r="7" spans="2:10" ht="15.75" x14ac:dyDescent="0.25">
      <c r="B7" s="1813" t="s">
        <v>633</v>
      </c>
      <c r="C7" s="1813"/>
      <c r="D7" s="1813"/>
      <c r="E7" s="961">
        <v>347170.22000000003</v>
      </c>
      <c r="F7" s="959">
        <v>0</v>
      </c>
      <c r="G7" s="961">
        <v>347170.22</v>
      </c>
    </row>
    <row r="8" spans="2:10" ht="16.5" thickBot="1" x14ac:dyDescent="0.3">
      <c r="B8" s="1813" t="s">
        <v>634</v>
      </c>
      <c r="C8" s="1813"/>
      <c r="D8" s="1813"/>
      <c r="E8" s="961">
        <v>1107237.6700000002</v>
      </c>
      <c r="F8" s="959">
        <v>0</v>
      </c>
      <c r="G8" s="961">
        <v>1107237.67</v>
      </c>
    </row>
    <row r="9" spans="2:10" ht="17.25" thickTop="1" thickBot="1" x14ac:dyDescent="0.3">
      <c r="B9" s="1814" t="s">
        <v>635</v>
      </c>
      <c r="C9" s="1814"/>
      <c r="D9" s="1815"/>
      <c r="E9" s="962">
        <v>3676910.66</v>
      </c>
      <c r="F9" s="963">
        <v>0</v>
      </c>
      <c r="G9" s="964">
        <v>3676910.66</v>
      </c>
      <c r="I9" s="955">
        <f>1/(1+'[11]IPCT VNR_FA'!C2/12)</f>
        <v>0.99357488242697234</v>
      </c>
      <c r="J9" s="955">
        <f>+I9*G7</f>
        <v>344939.61051864608</v>
      </c>
    </row>
    <row r="10" spans="2:10" ht="15.75" thickTop="1" x14ac:dyDescent="0.25"/>
    <row r="12" spans="2:10" ht="16.5" thickBot="1" x14ac:dyDescent="0.3">
      <c r="B12" s="956">
        <v>42948</v>
      </c>
      <c r="C12" s="957"/>
      <c r="D12" s="958"/>
      <c r="E12" s="959"/>
      <c r="F12" s="959"/>
      <c r="G12" s="959"/>
    </row>
    <row r="13" spans="2:10" ht="16.5" thickTop="1" x14ac:dyDescent="0.25">
      <c r="B13" s="1812" t="s">
        <v>632</v>
      </c>
      <c r="C13" s="1812"/>
      <c r="D13" s="1812"/>
      <c r="E13" s="960">
        <v>2222502.77</v>
      </c>
      <c r="F13" s="960">
        <v>0</v>
      </c>
      <c r="G13" s="960">
        <v>2222502.77</v>
      </c>
    </row>
    <row r="14" spans="2:10" ht="15.75" x14ac:dyDescent="0.25">
      <c r="B14" s="1813" t="s">
        <v>633</v>
      </c>
      <c r="C14" s="1813"/>
      <c r="D14" s="1813"/>
      <c r="E14" s="961">
        <v>347170.22000000003</v>
      </c>
      <c r="F14" s="959">
        <v>0</v>
      </c>
      <c r="G14" s="961">
        <v>347170.22</v>
      </c>
    </row>
    <row r="15" spans="2:10" ht="16.5" thickBot="1" x14ac:dyDescent="0.3">
      <c r="B15" s="1813" t="s">
        <v>634</v>
      </c>
      <c r="C15" s="1813"/>
      <c r="D15" s="1813"/>
      <c r="E15" s="961">
        <v>1112469.7400000002</v>
      </c>
      <c r="F15" s="959">
        <v>0</v>
      </c>
      <c r="G15" s="961">
        <v>1112469.74</v>
      </c>
    </row>
    <row r="16" spans="2:10" ht="17.25" thickTop="1" thickBot="1" x14ac:dyDescent="0.3">
      <c r="B16" s="1814" t="s">
        <v>635</v>
      </c>
      <c r="C16" s="1814"/>
      <c r="D16" s="1815"/>
      <c r="E16" s="962">
        <v>3682142.73</v>
      </c>
      <c r="F16" s="963">
        <v>0</v>
      </c>
      <c r="G16" s="964">
        <v>3682142.73</v>
      </c>
      <c r="I16" s="965">
        <f>+I9/(1+'[11]IPCT VNR_FA'!$C$2/12)</f>
        <v>0.98719104698977189</v>
      </c>
      <c r="J16" s="955">
        <f>+I16*G14</f>
        <v>342723.3329654694</v>
      </c>
    </row>
    <row r="17" spans="2:10" ht="15.75" thickTop="1" x14ac:dyDescent="0.25"/>
    <row r="19" spans="2:10" ht="16.5" thickBot="1" x14ac:dyDescent="0.3">
      <c r="B19" s="956">
        <v>42979</v>
      </c>
      <c r="C19" s="957"/>
      <c r="D19" s="958"/>
      <c r="E19" s="959"/>
      <c r="F19" s="959"/>
      <c r="G19" s="959"/>
    </row>
    <row r="20" spans="2:10" ht="16.5" thickTop="1" x14ac:dyDescent="0.25">
      <c r="B20" s="1812" t="s">
        <v>632</v>
      </c>
      <c r="C20" s="1812"/>
      <c r="D20" s="1812"/>
      <c r="E20" s="960">
        <v>2222502.77</v>
      </c>
      <c r="F20" s="960">
        <v>0</v>
      </c>
      <c r="G20" s="960">
        <v>2222502.77</v>
      </c>
    </row>
    <row r="21" spans="2:10" ht="15.75" x14ac:dyDescent="0.25">
      <c r="B21" s="1813" t="s">
        <v>633</v>
      </c>
      <c r="C21" s="1813"/>
      <c r="D21" s="1813"/>
      <c r="E21" s="961">
        <v>347170.22000000003</v>
      </c>
      <c r="F21" s="959">
        <v>0</v>
      </c>
      <c r="G21" s="961">
        <v>347170.22</v>
      </c>
    </row>
    <row r="22" spans="2:10" ht="16.5" thickBot="1" x14ac:dyDescent="0.3">
      <c r="B22" s="1813" t="s">
        <v>634</v>
      </c>
      <c r="C22" s="1813"/>
      <c r="D22" s="1813"/>
      <c r="E22" s="961">
        <v>1108943.7800000003</v>
      </c>
      <c r="F22" s="959">
        <v>0</v>
      </c>
      <c r="G22" s="961">
        <v>1108943.78</v>
      </c>
    </row>
    <row r="23" spans="2:10" ht="17.25" thickTop="1" thickBot="1" x14ac:dyDescent="0.3">
      <c r="B23" s="1814" t="s">
        <v>635</v>
      </c>
      <c r="C23" s="1814"/>
      <c r="D23" s="1815"/>
      <c r="E23" s="962">
        <v>3678616.77</v>
      </c>
      <c r="F23" s="963">
        <v>0</v>
      </c>
      <c r="G23" s="964">
        <v>3678616.77</v>
      </c>
      <c r="I23" s="965">
        <f>+I16/(1+'[11]IPCT VNR_FA'!$C$2/12)</f>
        <v>0.98084822844582231</v>
      </c>
      <c r="J23" s="955">
        <f>+I23*G21</f>
        <v>340521.29525614635</v>
      </c>
    </row>
    <row r="24" spans="2:10" ht="15.75" thickTop="1" x14ac:dyDescent="0.25"/>
    <row r="26" spans="2:10" ht="16.5" thickBot="1" x14ac:dyDescent="0.3">
      <c r="B26" s="956">
        <v>43009</v>
      </c>
      <c r="C26" s="957"/>
      <c r="D26" s="958"/>
      <c r="E26" s="959"/>
      <c r="F26" s="959"/>
      <c r="G26" s="959"/>
    </row>
    <row r="27" spans="2:10" ht="16.5" thickTop="1" x14ac:dyDescent="0.25">
      <c r="B27" s="1812" t="s">
        <v>632</v>
      </c>
      <c r="C27" s="1812"/>
      <c r="D27" s="1812"/>
      <c r="E27" s="960">
        <v>2222502.77</v>
      </c>
      <c r="F27" s="960">
        <v>0</v>
      </c>
      <c r="G27" s="960">
        <v>2222502.77</v>
      </c>
    </row>
    <row r="28" spans="2:10" ht="15.75" x14ac:dyDescent="0.25">
      <c r="B28" s="1813" t="s">
        <v>633</v>
      </c>
      <c r="C28" s="1813"/>
      <c r="D28" s="1813"/>
      <c r="E28" s="961">
        <v>347170.22000000003</v>
      </c>
      <c r="F28" s="959">
        <v>0</v>
      </c>
      <c r="G28" s="961">
        <v>347170.22</v>
      </c>
    </row>
    <row r="29" spans="2:10" ht="16.5" thickBot="1" x14ac:dyDescent="0.3">
      <c r="B29" s="1813" t="s">
        <v>634</v>
      </c>
      <c r="C29" s="1813"/>
      <c r="D29" s="1813"/>
      <c r="E29" s="961">
        <v>1108943.7800000003</v>
      </c>
      <c r="F29" s="959">
        <v>0</v>
      </c>
      <c r="G29" s="961">
        <v>1108943.78</v>
      </c>
      <c r="I29" s="965">
        <f>+I23/(1+'[11]IPCT VNR_FA'!$C$2/12)</f>
        <v>0.97454616325676191</v>
      </c>
      <c r="J29" s="955">
        <f>+I29*G28</f>
        <v>338333.40589800593</v>
      </c>
    </row>
    <row r="30" spans="2:10" ht="17.25" thickTop="1" thickBot="1" x14ac:dyDescent="0.3">
      <c r="B30" s="1814" t="s">
        <v>635</v>
      </c>
      <c r="C30" s="1814"/>
      <c r="D30" s="1815"/>
      <c r="E30" s="962"/>
      <c r="F30" s="963"/>
      <c r="G30" s="964"/>
    </row>
    <row r="31" spans="2:10" ht="15.75" thickTop="1" x14ac:dyDescent="0.25"/>
    <row r="33" spans="2:10" ht="16.5" thickBot="1" x14ac:dyDescent="0.3">
      <c r="B33" s="956">
        <v>43040</v>
      </c>
      <c r="C33" s="957"/>
      <c r="D33" s="958"/>
      <c r="E33" s="959"/>
      <c r="F33" s="959"/>
      <c r="G33" s="959"/>
    </row>
    <row r="34" spans="2:10" ht="16.5" thickTop="1" x14ac:dyDescent="0.25">
      <c r="B34" s="1812" t="s">
        <v>632</v>
      </c>
      <c r="C34" s="1812"/>
      <c r="D34" s="1812"/>
      <c r="E34" s="960">
        <v>2222502.77</v>
      </c>
      <c r="F34" s="960">
        <v>0</v>
      </c>
      <c r="G34" s="960">
        <v>2222502.77</v>
      </c>
    </row>
    <row r="35" spans="2:10" ht="15.75" x14ac:dyDescent="0.25">
      <c r="B35" s="1813" t="s">
        <v>633</v>
      </c>
      <c r="C35" s="1813"/>
      <c r="D35" s="1813"/>
      <c r="E35" s="961">
        <v>347170.22000000003</v>
      </c>
      <c r="F35" s="959">
        <v>0</v>
      </c>
      <c r="G35" s="961">
        <v>347170.22</v>
      </c>
    </row>
    <row r="36" spans="2:10" ht="16.5" thickBot="1" x14ac:dyDescent="0.3">
      <c r="B36" s="1813" t="s">
        <v>634</v>
      </c>
      <c r="C36" s="1813"/>
      <c r="D36" s="1813"/>
      <c r="E36" s="961">
        <v>1108943.7800000003</v>
      </c>
      <c r="F36" s="959">
        <v>0</v>
      </c>
      <c r="G36" s="961">
        <v>1108943.78</v>
      </c>
      <c r="I36" s="965">
        <f>+I29/(1+'[11]IPCT VNR_FA'!$C$2/12)</f>
        <v>0.96828458957749419</v>
      </c>
      <c r="J36" s="955">
        <f>+I36*G35</f>
        <v>336159.57398622832</v>
      </c>
    </row>
    <row r="37" spans="2:10" ht="17.25" thickTop="1" thickBot="1" x14ac:dyDescent="0.3">
      <c r="B37" s="1814" t="s">
        <v>635</v>
      </c>
      <c r="C37" s="1814"/>
      <c r="D37" s="1815"/>
      <c r="E37" s="962"/>
      <c r="F37" s="963"/>
      <c r="G37" s="964"/>
    </row>
    <row r="38" spans="2:10" ht="15.75" thickTop="1" x14ac:dyDescent="0.25"/>
    <row r="40" spans="2:10" ht="16.5" thickBot="1" x14ac:dyDescent="0.3">
      <c r="B40" s="956">
        <v>43070</v>
      </c>
      <c r="C40" s="957"/>
      <c r="D40" s="958" t="s">
        <v>636</v>
      </c>
      <c r="E40" s="959"/>
      <c r="F40" s="959"/>
      <c r="G40" s="959"/>
    </row>
    <row r="41" spans="2:10" ht="16.5" thickTop="1" x14ac:dyDescent="0.25">
      <c r="B41" s="1812" t="s">
        <v>632</v>
      </c>
      <c r="C41" s="1812"/>
      <c r="D41" s="1812"/>
      <c r="E41" s="960">
        <v>2222502.77</v>
      </c>
      <c r="F41" s="960">
        <v>0</v>
      </c>
      <c r="G41" s="960">
        <v>2222502.77</v>
      </c>
    </row>
    <row r="42" spans="2:10" ht="15.75" x14ac:dyDescent="0.25">
      <c r="B42" s="1813" t="s">
        <v>633</v>
      </c>
      <c r="C42" s="1813"/>
      <c r="D42" s="1813"/>
      <c r="E42" s="961">
        <v>347170.22000000003</v>
      </c>
      <c r="F42" s="959">
        <v>0</v>
      </c>
      <c r="G42" s="961">
        <v>347170.22</v>
      </c>
    </row>
    <row r="43" spans="2:10" ht="16.5" thickBot="1" x14ac:dyDescent="0.3">
      <c r="B43" s="1813" t="s">
        <v>634</v>
      </c>
      <c r="C43" s="1813"/>
      <c r="D43" s="1813"/>
      <c r="E43" s="961">
        <v>1108943.7800000003</v>
      </c>
      <c r="F43" s="959">
        <v>0</v>
      </c>
      <c r="G43" s="961">
        <v>1108943.78</v>
      </c>
      <c r="I43" s="965">
        <f>+I36/(1+'[11]IPCT VNR_FA'!$C$2/12)</f>
        <v>0.9620632472453079</v>
      </c>
      <c r="J43" s="955">
        <f>+I43*G42</f>
        <v>333999.70920006791</v>
      </c>
    </row>
    <row r="44" spans="2:10" ht="17.25" thickTop="1" thickBot="1" x14ac:dyDescent="0.3">
      <c r="B44" s="1814" t="s">
        <v>635</v>
      </c>
      <c r="C44" s="1814"/>
      <c r="D44" s="1815"/>
      <c r="E44" s="962"/>
      <c r="F44" s="963"/>
      <c r="G44" s="964"/>
    </row>
    <row r="45" spans="2:10" ht="15.75" thickTop="1" x14ac:dyDescent="0.25"/>
    <row r="47" spans="2:10" ht="16.5" thickBot="1" x14ac:dyDescent="0.3">
      <c r="B47" s="956">
        <v>43070</v>
      </c>
      <c r="C47" s="957"/>
      <c r="D47" s="958" t="s">
        <v>636</v>
      </c>
      <c r="E47" s="959"/>
      <c r="F47" s="959"/>
      <c r="G47" s="959"/>
    </row>
    <row r="48" spans="2:10" ht="16.5" thickTop="1" x14ac:dyDescent="0.25">
      <c r="B48" s="1812" t="s">
        <v>632</v>
      </c>
      <c r="C48" s="1812"/>
      <c r="D48" s="1812"/>
      <c r="E48" s="960">
        <f>+E6+E13+E20+E27+E34+E41</f>
        <v>13335016.619999999</v>
      </c>
      <c r="F48" s="960">
        <f t="shared" ref="F48:G48" si="0">+F6+F13+F20+F27+F34+F41</f>
        <v>0</v>
      </c>
      <c r="G48" s="960">
        <f t="shared" si="0"/>
        <v>13335016.619999999</v>
      </c>
    </row>
    <row r="49" spans="2:10" ht="21" x14ac:dyDescent="0.35">
      <c r="B49" s="1813" t="s">
        <v>633</v>
      </c>
      <c r="C49" s="1813"/>
      <c r="D49" s="1813"/>
      <c r="E49" s="966">
        <f t="shared" ref="E49:G51" si="1">+E7+E14+E21+E28+E35+E42</f>
        <v>2083021.32</v>
      </c>
      <c r="F49" s="959">
        <f t="shared" si="1"/>
        <v>0</v>
      </c>
      <c r="G49" s="961">
        <f t="shared" si="1"/>
        <v>2083021.3199999998</v>
      </c>
    </row>
    <row r="50" spans="2:10" ht="16.5" thickBot="1" x14ac:dyDescent="0.3">
      <c r="B50" s="1813" t="s">
        <v>634</v>
      </c>
      <c r="C50" s="1813"/>
      <c r="D50" s="1813"/>
      <c r="E50" s="961">
        <f t="shared" si="1"/>
        <v>6655482.5300000012</v>
      </c>
      <c r="F50" s="959">
        <f t="shared" si="1"/>
        <v>0</v>
      </c>
      <c r="G50" s="961">
        <f t="shared" si="1"/>
        <v>6655482.5300000012</v>
      </c>
    </row>
    <row r="51" spans="2:10" ht="17.25" thickTop="1" thickBot="1" x14ac:dyDescent="0.3">
      <c r="B51" s="1814" t="s">
        <v>635</v>
      </c>
      <c r="C51" s="1814"/>
      <c r="D51" s="1815"/>
      <c r="E51" s="962">
        <f t="shared" si="1"/>
        <v>11037670.16</v>
      </c>
      <c r="F51" s="963">
        <f t="shared" si="1"/>
        <v>0</v>
      </c>
      <c r="G51" s="964">
        <f t="shared" si="1"/>
        <v>11037670.16</v>
      </c>
      <c r="J51" s="961">
        <f>+SUM(J6:J50)</f>
        <v>2036676.927824564</v>
      </c>
    </row>
    <row r="52" spans="2:10" ht="15.75" thickTop="1" x14ac:dyDescent="0.25"/>
  </sheetData>
  <mergeCells count="28">
    <mergeCell ref="B14:D14"/>
    <mergeCell ref="B6:D6"/>
    <mergeCell ref="B7:D7"/>
    <mergeCell ref="B8:D8"/>
    <mergeCell ref="B9:D9"/>
    <mergeCell ref="B13:D13"/>
    <mergeCell ref="B35:D35"/>
    <mergeCell ref="B15:D15"/>
    <mergeCell ref="B16:D16"/>
    <mergeCell ref="B20:D20"/>
    <mergeCell ref="B21:D21"/>
    <mergeCell ref="B22:D22"/>
    <mergeCell ref="B23:D23"/>
    <mergeCell ref="B27:D27"/>
    <mergeCell ref="B28:D28"/>
    <mergeCell ref="B29:D29"/>
    <mergeCell ref="B30:D30"/>
    <mergeCell ref="B34:D34"/>
    <mergeCell ref="B48:D48"/>
    <mergeCell ref="B49:D49"/>
    <mergeCell ref="B50:D50"/>
    <mergeCell ref="B51:D51"/>
    <mergeCell ref="B36:D36"/>
    <mergeCell ref="B37:D37"/>
    <mergeCell ref="B41:D41"/>
    <mergeCell ref="B42:D42"/>
    <mergeCell ref="B43:D43"/>
    <mergeCell ref="B44:D44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78"/>
  <sheetViews>
    <sheetView topLeftCell="A32" zoomScale="85" zoomScaleNormal="85" workbookViewId="0">
      <selection activeCell="G9" sqref="G9"/>
    </sheetView>
  </sheetViews>
  <sheetFormatPr baseColWidth="10" defaultColWidth="11.42578125" defaultRowHeight="15" x14ac:dyDescent="0.25"/>
  <cols>
    <col min="1" max="1" width="7.28515625" style="701" customWidth="1"/>
    <col min="2" max="2" width="67.28515625" style="630" customWidth="1"/>
    <col min="3" max="3" width="11.42578125" style="630"/>
    <col min="4" max="4" width="35" style="702" customWidth="1"/>
    <col min="5" max="5" width="14.7109375" style="630" customWidth="1"/>
    <col min="6" max="6" width="11.42578125" style="630"/>
    <col min="7" max="7" width="16.7109375" style="630" customWidth="1"/>
    <col min="8" max="8" width="19.7109375" style="630" customWidth="1"/>
    <col min="9" max="10" width="11.42578125" style="630"/>
    <col min="11" max="11" width="14.28515625" style="630" bestFit="1" customWidth="1"/>
    <col min="12" max="16384" width="11.42578125" style="630"/>
  </cols>
  <sheetData>
    <row r="1" spans="1:7" ht="30" customHeight="1" thickBot="1" x14ac:dyDescent="0.3">
      <c r="A1" s="1816" t="s">
        <v>596</v>
      </c>
      <c r="B1" s="1817"/>
      <c r="C1" s="1817"/>
      <c r="D1" s="1817"/>
      <c r="E1" s="1818"/>
    </row>
    <row r="2" spans="1:7" ht="30" customHeight="1" thickBot="1" x14ac:dyDescent="0.3">
      <c r="A2" s="631" t="s">
        <v>521</v>
      </c>
      <c r="B2" s="632" t="s">
        <v>522</v>
      </c>
      <c r="C2" s="633" t="s">
        <v>66</v>
      </c>
      <c r="D2" s="634" t="s">
        <v>523</v>
      </c>
      <c r="E2" s="635" t="s">
        <v>524</v>
      </c>
    </row>
    <row r="3" spans="1:7" ht="15" customHeight="1" x14ac:dyDescent="0.25">
      <c r="A3" s="636">
        <v>1</v>
      </c>
      <c r="B3" s="637" t="s">
        <v>525</v>
      </c>
      <c r="C3" s="638"/>
      <c r="D3" s="639">
        <v>65250</v>
      </c>
      <c r="E3" s="640">
        <f>C3*D3</f>
        <v>0</v>
      </c>
    </row>
    <row r="4" spans="1:7" ht="15" customHeight="1" x14ac:dyDescent="0.25">
      <c r="A4" s="641">
        <f>+A3+1</f>
        <v>2</v>
      </c>
      <c r="B4" s="642" t="s">
        <v>526</v>
      </c>
      <c r="C4" s="638">
        <v>0</v>
      </c>
      <c r="D4" s="643">
        <v>74065.080135988333</v>
      </c>
      <c r="E4" s="640"/>
    </row>
    <row r="5" spans="1:7" ht="15" customHeight="1" x14ac:dyDescent="0.25">
      <c r="A5" s="641">
        <f t="shared" ref="A5:A40" si="0">+A4+1</f>
        <v>3</v>
      </c>
      <c r="B5" s="644" t="s">
        <v>527</v>
      </c>
      <c r="C5" s="638"/>
      <c r="D5" s="643">
        <v>19871.249588590235</v>
      </c>
      <c r="E5" s="645">
        <f t="shared" ref="E5:E39" si="1">C5*D5</f>
        <v>0</v>
      </c>
      <c r="G5" s="646"/>
    </row>
    <row r="6" spans="1:7" ht="15" customHeight="1" x14ac:dyDescent="0.25">
      <c r="A6" s="641">
        <f t="shared" si="0"/>
        <v>4</v>
      </c>
      <c r="B6" s="642" t="s">
        <v>528</v>
      </c>
      <c r="C6" s="647"/>
      <c r="D6" s="643">
        <v>17539.134129330989</v>
      </c>
      <c r="E6" s="645">
        <f t="shared" si="1"/>
        <v>0</v>
      </c>
      <c r="G6" s="646"/>
    </row>
    <row r="7" spans="1:7" ht="15" customHeight="1" x14ac:dyDescent="0.25">
      <c r="A7" s="641">
        <f t="shared" si="0"/>
        <v>5</v>
      </c>
      <c r="B7" s="642" t="s">
        <v>529</v>
      </c>
      <c r="C7" s="638"/>
      <c r="D7" s="643">
        <v>10356</v>
      </c>
      <c r="E7" s="645">
        <f t="shared" si="1"/>
        <v>0</v>
      </c>
      <c r="G7" s="646"/>
    </row>
    <row r="8" spans="1:7" ht="15" customHeight="1" x14ac:dyDescent="0.25">
      <c r="A8" s="641">
        <f t="shared" si="0"/>
        <v>6</v>
      </c>
      <c r="B8" s="642" t="s">
        <v>530</v>
      </c>
      <c r="C8" s="638">
        <v>0</v>
      </c>
      <c r="D8" s="643">
        <v>11733</v>
      </c>
      <c r="E8" s="645">
        <f t="shared" si="1"/>
        <v>0</v>
      </c>
    </row>
    <row r="9" spans="1:7" ht="15" customHeight="1" x14ac:dyDescent="0.25">
      <c r="A9" s="641">
        <f t="shared" si="0"/>
        <v>7</v>
      </c>
      <c r="B9" s="642" t="s">
        <v>531</v>
      </c>
      <c r="C9" s="638">
        <v>0</v>
      </c>
      <c r="D9" s="643">
        <v>162000</v>
      </c>
      <c r="E9" s="645">
        <f t="shared" si="1"/>
        <v>0</v>
      </c>
    </row>
    <row r="10" spans="1:7" ht="15" customHeight="1" x14ac:dyDescent="0.25">
      <c r="A10" s="641">
        <f t="shared" si="0"/>
        <v>8</v>
      </c>
      <c r="B10" s="642" t="s">
        <v>532</v>
      </c>
      <c r="C10" s="638">
        <v>0</v>
      </c>
      <c r="D10" s="643">
        <v>164000</v>
      </c>
      <c r="E10" s="645">
        <f t="shared" si="1"/>
        <v>0</v>
      </c>
    </row>
    <row r="11" spans="1:7" ht="15" customHeight="1" x14ac:dyDescent="0.25">
      <c r="A11" s="641">
        <f t="shared" si="0"/>
        <v>9</v>
      </c>
      <c r="B11" s="642" t="s">
        <v>533</v>
      </c>
      <c r="C11" s="638">
        <v>0</v>
      </c>
      <c r="D11" s="643">
        <v>50000</v>
      </c>
      <c r="E11" s="645">
        <f t="shared" si="1"/>
        <v>0</v>
      </c>
    </row>
    <row r="12" spans="1:7" ht="15" customHeight="1" x14ac:dyDescent="0.25">
      <c r="A12" s="641">
        <f t="shared" si="0"/>
        <v>10</v>
      </c>
      <c r="B12" s="642" t="s">
        <v>534</v>
      </c>
      <c r="C12" s="638">
        <v>0</v>
      </c>
      <c r="D12" s="643">
        <v>24000</v>
      </c>
      <c r="E12" s="645">
        <f t="shared" si="1"/>
        <v>0</v>
      </c>
      <c r="G12" s="646"/>
    </row>
    <row r="13" spans="1:7" ht="15" customHeight="1" x14ac:dyDescent="0.25">
      <c r="A13" s="641">
        <f t="shared" si="0"/>
        <v>11</v>
      </c>
      <c r="B13" s="642" t="s">
        <v>535</v>
      </c>
      <c r="C13" s="638">
        <v>2</v>
      </c>
      <c r="D13" s="643">
        <v>20760</v>
      </c>
      <c r="E13" s="645">
        <f t="shared" si="1"/>
        <v>41520</v>
      </c>
      <c r="G13" s="646"/>
    </row>
    <row r="14" spans="1:7" ht="15" customHeight="1" x14ac:dyDescent="0.25">
      <c r="A14" s="641">
        <f t="shared" si="0"/>
        <v>12</v>
      </c>
      <c r="B14" s="642" t="s">
        <v>536</v>
      </c>
      <c r="C14" s="638">
        <v>0</v>
      </c>
      <c r="D14" s="643">
        <v>16614</v>
      </c>
      <c r="E14" s="645">
        <f t="shared" si="1"/>
        <v>0</v>
      </c>
      <c r="G14" s="646"/>
    </row>
    <row r="15" spans="1:7" ht="15" customHeight="1" x14ac:dyDescent="0.25">
      <c r="A15" s="641">
        <f t="shared" si="0"/>
        <v>13</v>
      </c>
      <c r="B15" s="642" t="s">
        <v>537</v>
      </c>
      <c r="C15" s="638">
        <v>0</v>
      </c>
      <c r="D15" s="643">
        <v>7000</v>
      </c>
      <c r="E15" s="645">
        <f t="shared" si="1"/>
        <v>0</v>
      </c>
      <c r="G15" s="646"/>
    </row>
    <row r="16" spans="1:7" ht="15" customHeight="1" x14ac:dyDescent="0.25">
      <c r="A16" s="641">
        <f t="shared" si="0"/>
        <v>14</v>
      </c>
      <c r="B16" s="642" t="s">
        <v>538</v>
      </c>
      <c r="C16" s="638"/>
      <c r="D16" s="643">
        <v>4400</v>
      </c>
      <c r="E16" s="645">
        <f t="shared" si="1"/>
        <v>0</v>
      </c>
      <c r="G16" s="646"/>
    </row>
    <row r="17" spans="1:7" ht="15" customHeight="1" x14ac:dyDescent="0.25">
      <c r="A17" s="641">
        <f t="shared" si="0"/>
        <v>15</v>
      </c>
      <c r="B17" s="648" t="s">
        <v>539</v>
      </c>
      <c r="C17" s="638">
        <v>0</v>
      </c>
      <c r="D17" s="643">
        <v>19000</v>
      </c>
      <c r="E17" s="645">
        <f t="shared" si="1"/>
        <v>0</v>
      </c>
      <c r="G17" s="646"/>
    </row>
    <row r="18" spans="1:7" ht="15" customHeight="1" x14ac:dyDescent="0.25">
      <c r="A18" s="641">
        <f t="shared" si="0"/>
        <v>16</v>
      </c>
      <c r="B18" s="648" t="s">
        <v>540</v>
      </c>
      <c r="C18" s="638"/>
      <c r="D18" s="643">
        <v>13609.78260869565</v>
      </c>
      <c r="E18" s="645">
        <f t="shared" si="1"/>
        <v>0</v>
      </c>
      <c r="G18" s="646"/>
    </row>
    <row r="19" spans="1:7" ht="15" customHeight="1" x14ac:dyDescent="0.25">
      <c r="A19" s="641">
        <f t="shared" si="0"/>
        <v>17</v>
      </c>
      <c r="B19" s="648" t="s">
        <v>541</v>
      </c>
      <c r="C19" s="638">
        <v>0</v>
      </c>
      <c r="D19" s="643">
        <v>17000</v>
      </c>
      <c r="E19" s="645">
        <f t="shared" si="1"/>
        <v>0</v>
      </c>
      <c r="G19" s="646"/>
    </row>
    <row r="20" spans="1:7" ht="15" customHeight="1" x14ac:dyDescent="0.25">
      <c r="A20" s="641">
        <f t="shared" si="0"/>
        <v>18</v>
      </c>
      <c r="B20" s="648" t="s">
        <v>542</v>
      </c>
      <c r="C20" s="638"/>
      <c r="D20" s="643">
        <v>11600</v>
      </c>
      <c r="E20" s="645">
        <f t="shared" si="1"/>
        <v>0</v>
      </c>
      <c r="G20" s="646"/>
    </row>
    <row r="21" spans="1:7" ht="15" customHeight="1" x14ac:dyDescent="0.25">
      <c r="A21" s="641">
        <f t="shared" si="0"/>
        <v>19</v>
      </c>
      <c r="B21" s="642" t="s">
        <v>543</v>
      </c>
      <c r="C21" s="638">
        <v>0</v>
      </c>
      <c r="D21" s="643">
        <v>35869.565217391311</v>
      </c>
      <c r="E21" s="645">
        <f t="shared" si="1"/>
        <v>0</v>
      </c>
      <c r="G21" s="646"/>
    </row>
    <row r="22" spans="1:7" ht="15" customHeight="1" x14ac:dyDescent="0.25">
      <c r="A22" s="641">
        <f t="shared" si="0"/>
        <v>20</v>
      </c>
      <c r="B22" s="642" t="s">
        <v>544</v>
      </c>
      <c r="C22" s="638">
        <v>0</v>
      </c>
      <c r="D22" s="643">
        <v>3500000</v>
      </c>
      <c r="E22" s="645">
        <f t="shared" si="1"/>
        <v>0</v>
      </c>
    </row>
    <row r="23" spans="1:7" ht="15" customHeight="1" x14ac:dyDescent="0.25">
      <c r="A23" s="641">
        <f t="shared" si="0"/>
        <v>21</v>
      </c>
      <c r="B23" s="642" t="s">
        <v>597</v>
      </c>
      <c r="C23" s="638">
        <v>1</v>
      </c>
      <c r="D23" s="643">
        <v>3200000</v>
      </c>
      <c r="E23" s="645">
        <f t="shared" si="1"/>
        <v>3200000</v>
      </c>
      <c r="F23" s="1376">
        <f>+E23/E67</f>
        <v>0.20584900099079398</v>
      </c>
    </row>
    <row r="24" spans="1:7" ht="15" customHeight="1" x14ac:dyDescent="0.25">
      <c r="A24" s="641">
        <f t="shared" si="0"/>
        <v>22</v>
      </c>
      <c r="B24" s="642" t="s">
        <v>598</v>
      </c>
      <c r="C24" s="638">
        <v>0</v>
      </c>
      <c r="D24" s="643">
        <v>2000000</v>
      </c>
      <c r="E24" s="645">
        <f t="shared" si="1"/>
        <v>0</v>
      </c>
    </row>
    <row r="25" spans="1:7" ht="15" customHeight="1" x14ac:dyDescent="0.25">
      <c r="A25" s="641">
        <f t="shared" si="0"/>
        <v>23</v>
      </c>
      <c r="B25" s="642" t="s">
        <v>599</v>
      </c>
      <c r="C25" s="638">
        <v>2</v>
      </c>
      <c r="D25" s="643">
        <v>2700000</v>
      </c>
      <c r="E25" s="645">
        <f t="shared" si="1"/>
        <v>5400000</v>
      </c>
    </row>
    <row r="26" spans="1:7" ht="15" customHeight="1" x14ac:dyDescent="0.25">
      <c r="A26" s="641">
        <f t="shared" si="0"/>
        <v>24</v>
      </c>
      <c r="B26" s="642" t="s">
        <v>548</v>
      </c>
      <c r="C26" s="638">
        <v>0</v>
      </c>
      <c r="D26" s="643">
        <v>2150000</v>
      </c>
      <c r="E26" s="645">
        <f t="shared" si="1"/>
        <v>0</v>
      </c>
    </row>
    <row r="27" spans="1:7" ht="15" customHeight="1" x14ac:dyDescent="0.25">
      <c r="A27" s="641">
        <f t="shared" si="0"/>
        <v>25</v>
      </c>
      <c r="B27" s="642" t="s">
        <v>549</v>
      </c>
      <c r="C27" s="638">
        <v>0</v>
      </c>
      <c r="D27" s="643">
        <v>810000</v>
      </c>
      <c r="E27" s="645">
        <f t="shared" si="1"/>
        <v>0</v>
      </c>
    </row>
    <row r="28" spans="1:7" ht="15" customHeight="1" x14ac:dyDescent="0.25">
      <c r="A28" s="641">
        <f t="shared" si="0"/>
        <v>26</v>
      </c>
      <c r="B28" s="642" t="s">
        <v>550</v>
      </c>
      <c r="C28" s="638">
        <v>0</v>
      </c>
      <c r="D28" s="643">
        <v>160000</v>
      </c>
      <c r="E28" s="645">
        <f t="shared" si="1"/>
        <v>0</v>
      </c>
    </row>
    <row r="29" spans="1:7" ht="15" customHeight="1" x14ac:dyDescent="0.25">
      <c r="A29" s="641">
        <f t="shared" si="0"/>
        <v>27</v>
      </c>
      <c r="B29" s="642" t="s">
        <v>551</v>
      </c>
      <c r="C29" s="638">
        <v>0</v>
      </c>
      <c r="D29" s="643">
        <v>218000</v>
      </c>
      <c r="E29" s="645">
        <f t="shared" si="1"/>
        <v>0</v>
      </c>
    </row>
    <row r="30" spans="1:7" ht="15" customHeight="1" x14ac:dyDescent="0.25">
      <c r="A30" s="641">
        <f t="shared" si="0"/>
        <v>28</v>
      </c>
      <c r="B30" s="642" t="s">
        <v>552</v>
      </c>
      <c r="C30" s="638">
        <v>0</v>
      </c>
      <c r="D30" s="643">
        <v>850000</v>
      </c>
      <c r="E30" s="645">
        <f t="shared" si="1"/>
        <v>0</v>
      </c>
    </row>
    <row r="31" spans="1:7" ht="15" customHeight="1" x14ac:dyDescent="0.25">
      <c r="A31" s="641">
        <f t="shared" si="0"/>
        <v>29</v>
      </c>
      <c r="B31" s="642" t="s">
        <v>553</v>
      </c>
      <c r="C31" s="638">
        <v>0</v>
      </c>
      <c r="D31" s="643">
        <v>480000</v>
      </c>
      <c r="E31" s="645"/>
    </row>
    <row r="32" spans="1:7" ht="15" customHeight="1" x14ac:dyDescent="0.25">
      <c r="A32" s="641">
        <f t="shared" si="0"/>
        <v>30</v>
      </c>
      <c r="B32" s="642" t="s">
        <v>554</v>
      </c>
      <c r="C32" s="638"/>
      <c r="D32" s="643">
        <v>300000</v>
      </c>
      <c r="E32" s="645">
        <f t="shared" si="1"/>
        <v>0</v>
      </c>
    </row>
    <row r="33" spans="1:7" ht="15" customHeight="1" x14ac:dyDescent="0.25">
      <c r="A33" s="641">
        <f t="shared" si="0"/>
        <v>31</v>
      </c>
      <c r="B33" s="642" t="s">
        <v>555</v>
      </c>
      <c r="C33" s="638">
        <v>0</v>
      </c>
      <c r="D33" s="643">
        <v>200000</v>
      </c>
      <c r="E33" s="645">
        <f t="shared" si="1"/>
        <v>0</v>
      </c>
    </row>
    <row r="34" spans="1:7" ht="15" customHeight="1" x14ac:dyDescent="0.25">
      <c r="A34" s="641">
        <f t="shared" si="0"/>
        <v>32</v>
      </c>
      <c r="B34" s="642" t="s">
        <v>556</v>
      </c>
      <c r="C34" s="638">
        <v>0</v>
      </c>
      <c r="D34" s="643">
        <v>59800</v>
      </c>
      <c r="E34" s="645">
        <f t="shared" si="1"/>
        <v>0</v>
      </c>
    </row>
    <row r="35" spans="1:7" ht="15" customHeight="1" x14ac:dyDescent="0.25">
      <c r="A35" s="641">
        <f t="shared" si="0"/>
        <v>33</v>
      </c>
      <c r="B35" s="642" t="s">
        <v>557</v>
      </c>
      <c r="C35" s="638">
        <v>0</v>
      </c>
      <c r="D35" s="643">
        <v>7400</v>
      </c>
      <c r="E35" s="645">
        <f t="shared" si="1"/>
        <v>0</v>
      </c>
      <c r="G35" s="646"/>
    </row>
    <row r="36" spans="1:7" ht="15" customHeight="1" x14ac:dyDescent="0.25">
      <c r="A36" s="641">
        <f t="shared" si="0"/>
        <v>34</v>
      </c>
      <c r="B36" s="642" t="s">
        <v>558</v>
      </c>
      <c r="C36" s="638">
        <v>0</v>
      </c>
      <c r="D36" s="643">
        <v>14201.865057597364</v>
      </c>
      <c r="E36" s="645">
        <f t="shared" si="1"/>
        <v>0</v>
      </c>
      <c r="G36" s="646"/>
    </row>
    <row r="37" spans="1:7" ht="15" customHeight="1" x14ac:dyDescent="0.25">
      <c r="A37" s="641">
        <f t="shared" si="0"/>
        <v>35</v>
      </c>
      <c r="B37" s="642" t="s">
        <v>559</v>
      </c>
      <c r="C37" s="638">
        <v>0</v>
      </c>
      <c r="D37" s="643">
        <v>9000</v>
      </c>
      <c r="E37" s="645">
        <f t="shared" si="1"/>
        <v>0</v>
      </c>
      <c r="G37" s="646"/>
    </row>
    <row r="38" spans="1:7" ht="15" customHeight="1" x14ac:dyDescent="0.25">
      <c r="A38" s="641">
        <f t="shared" si="0"/>
        <v>36</v>
      </c>
      <c r="B38" s="642" t="s">
        <v>560</v>
      </c>
      <c r="C38" s="638">
        <v>0</v>
      </c>
      <c r="D38" s="643">
        <v>1468.0412371134018</v>
      </c>
      <c r="E38" s="645">
        <f t="shared" si="1"/>
        <v>0</v>
      </c>
      <c r="G38" s="646"/>
    </row>
    <row r="39" spans="1:7" ht="15" customHeight="1" x14ac:dyDescent="0.25">
      <c r="A39" s="641">
        <f t="shared" si="0"/>
        <v>37</v>
      </c>
      <c r="B39" s="642" t="s">
        <v>561</v>
      </c>
      <c r="C39" s="638">
        <v>0</v>
      </c>
      <c r="D39" s="643">
        <v>6775.3623188405809</v>
      </c>
      <c r="E39" s="645">
        <f t="shared" si="1"/>
        <v>0</v>
      </c>
      <c r="G39" s="646"/>
    </row>
    <row r="40" spans="1:7" ht="15" customHeight="1" x14ac:dyDescent="0.25">
      <c r="A40" s="649">
        <f t="shared" si="0"/>
        <v>38</v>
      </c>
      <c r="B40" s="650" t="s">
        <v>562</v>
      </c>
      <c r="C40" s="651">
        <v>0</v>
      </c>
      <c r="D40" s="652">
        <v>6918.4782608695632</v>
      </c>
      <c r="E40" s="653">
        <f>C40*D40</f>
        <v>0</v>
      </c>
      <c r="G40" s="646"/>
    </row>
    <row r="41" spans="1:7" ht="15" customHeight="1" x14ac:dyDescent="0.25">
      <c r="A41" s="654"/>
      <c r="B41" s="655"/>
      <c r="C41" s="656"/>
      <c r="D41" s="657"/>
      <c r="E41" s="640"/>
    </row>
    <row r="42" spans="1:7" ht="15" customHeight="1" x14ac:dyDescent="0.25">
      <c r="A42" s="658"/>
      <c r="B42" s="659" t="s">
        <v>563</v>
      </c>
      <c r="C42" s="660"/>
      <c r="D42" s="661"/>
      <c r="E42" s="662">
        <f>SUM(E3:E40)</f>
        <v>8641520</v>
      </c>
    </row>
    <row r="43" spans="1:7" ht="15" customHeight="1" thickBot="1" x14ac:dyDescent="0.3">
      <c r="A43" s="663"/>
      <c r="B43" s="664" t="s">
        <v>564</v>
      </c>
      <c r="C43" s="665"/>
      <c r="D43" s="666"/>
      <c r="E43" s="667">
        <f>+E42-SUM(E22:E33)</f>
        <v>41520</v>
      </c>
    </row>
    <row r="44" spans="1:7" ht="30" customHeight="1" x14ac:dyDescent="0.25">
      <c r="A44" s="668"/>
      <c r="B44" s="669"/>
      <c r="C44" s="670"/>
      <c r="D44" s="671" t="s">
        <v>565</v>
      </c>
      <c r="E44" s="672"/>
    </row>
    <row r="45" spans="1:7" ht="15" customHeight="1" x14ac:dyDescent="0.25">
      <c r="A45" s="673">
        <f>+A40+1</f>
        <v>39</v>
      </c>
      <c r="B45" s="674" t="s">
        <v>566</v>
      </c>
      <c r="C45" s="675" t="s">
        <v>567</v>
      </c>
      <c r="D45" s="676">
        <v>5</v>
      </c>
      <c r="E45" s="677">
        <f>$E$43*D45/100</f>
        <v>2076</v>
      </c>
    </row>
    <row r="46" spans="1:7" ht="15" customHeight="1" x14ac:dyDescent="0.25">
      <c r="A46" s="641">
        <f>+A45+1</f>
        <v>40</v>
      </c>
      <c r="B46" s="674" t="s">
        <v>568</v>
      </c>
      <c r="C46" s="675" t="s">
        <v>567</v>
      </c>
      <c r="D46" s="676">
        <v>12</v>
      </c>
      <c r="E46" s="677">
        <f>$E$43*D46/100</f>
        <v>4982.3999999999996</v>
      </c>
    </row>
    <row r="47" spans="1:7" ht="15" customHeight="1" x14ac:dyDescent="0.25">
      <c r="A47" s="641">
        <f>+A46+1</f>
        <v>41</v>
      </c>
      <c r="B47" s="674" t="s">
        <v>569</v>
      </c>
      <c r="C47" s="675" t="s">
        <v>567</v>
      </c>
      <c r="D47" s="676">
        <v>50</v>
      </c>
      <c r="E47" s="677">
        <f>E43*D47/100</f>
        <v>20760</v>
      </c>
    </row>
    <row r="48" spans="1:7" ht="15" customHeight="1" x14ac:dyDescent="0.25">
      <c r="A48" s="641">
        <f>+A47+1</f>
        <v>42</v>
      </c>
      <c r="B48" s="674" t="s">
        <v>570</v>
      </c>
      <c r="C48" s="675" t="s">
        <v>567</v>
      </c>
      <c r="D48" s="676">
        <v>70</v>
      </c>
      <c r="E48" s="677">
        <f>E43*D48/100</f>
        <v>29064</v>
      </c>
    </row>
    <row r="49" spans="1:8" x14ac:dyDescent="0.25">
      <c r="A49" s="641">
        <f>+A48+1</f>
        <v>43</v>
      </c>
      <c r="B49" s="674" t="s">
        <v>571</v>
      </c>
      <c r="C49" s="675" t="s">
        <v>567</v>
      </c>
      <c r="D49" s="676">
        <v>15</v>
      </c>
      <c r="E49" s="677">
        <f>E43*D49/100</f>
        <v>6228</v>
      </c>
    </row>
    <row r="50" spans="1:8" x14ac:dyDescent="0.25">
      <c r="A50" s="641">
        <f>+A49+1</f>
        <v>44</v>
      </c>
      <c r="B50" s="674" t="s">
        <v>572</v>
      </c>
      <c r="C50" s="675" t="s">
        <v>567</v>
      </c>
      <c r="D50" s="676">
        <v>25</v>
      </c>
      <c r="E50" s="677">
        <f>E43*D50/100</f>
        <v>10380</v>
      </c>
    </row>
    <row r="51" spans="1:8" x14ac:dyDescent="0.25">
      <c r="A51" s="673"/>
      <c r="B51" s="674"/>
      <c r="C51" s="675"/>
      <c r="D51" s="642"/>
      <c r="E51" s="645"/>
    </row>
    <row r="52" spans="1:8" ht="15.75" thickBot="1" x14ac:dyDescent="0.3">
      <c r="A52" s="663"/>
      <c r="B52" s="678" t="s">
        <v>573</v>
      </c>
      <c r="C52" s="679"/>
      <c r="D52" s="680"/>
      <c r="E52" s="667">
        <f>+E42+SUM(E45:E50)</f>
        <v>8715010.4000000004</v>
      </c>
    </row>
    <row r="53" spans="1:8" x14ac:dyDescent="0.25">
      <c r="A53" s="668"/>
      <c r="B53" s="669"/>
      <c r="C53" s="681"/>
      <c r="D53" s="682" t="s">
        <v>574</v>
      </c>
      <c r="E53" s="672"/>
    </row>
    <row r="54" spans="1:8" x14ac:dyDescent="0.25">
      <c r="A54" s="673">
        <f>+A50+1</f>
        <v>45</v>
      </c>
      <c r="B54" s="674" t="s">
        <v>575</v>
      </c>
      <c r="C54" s="675" t="s">
        <v>567</v>
      </c>
      <c r="D54" s="676">
        <v>15</v>
      </c>
      <c r="E54" s="645">
        <f>E52*D54/100</f>
        <v>1307251.56</v>
      </c>
    </row>
    <row r="55" spans="1:8" x14ac:dyDescent="0.25">
      <c r="A55" s="641">
        <f>+A54+1</f>
        <v>46</v>
      </c>
      <c r="B55" s="674" t="s">
        <v>576</v>
      </c>
      <c r="C55" s="675" t="s">
        <v>567</v>
      </c>
      <c r="D55" s="683">
        <v>25</v>
      </c>
      <c r="E55" s="645">
        <f>E52*D55/100</f>
        <v>2178752.6</v>
      </c>
    </row>
    <row r="56" spans="1:8" x14ac:dyDescent="0.25">
      <c r="A56" s="673"/>
      <c r="B56" s="674"/>
      <c r="C56" s="684"/>
      <c r="D56" s="642"/>
      <c r="E56" s="645"/>
    </row>
    <row r="57" spans="1:8" ht="15.75" thickBot="1" x14ac:dyDescent="0.3">
      <c r="A57" s="663"/>
      <c r="B57" s="678" t="s">
        <v>578</v>
      </c>
      <c r="C57" s="679"/>
      <c r="D57" s="680"/>
      <c r="E57" s="667">
        <f>SUM(E52,E54,E55)</f>
        <v>12201014.560000001</v>
      </c>
    </row>
    <row r="58" spans="1:8" x14ac:dyDescent="0.25">
      <c r="A58" s="668"/>
      <c r="B58" s="669"/>
      <c r="C58" s="686"/>
      <c r="D58" s="682" t="s">
        <v>580</v>
      </c>
      <c r="E58" s="687"/>
    </row>
    <row r="59" spans="1:8" x14ac:dyDescent="0.25">
      <c r="A59" s="673">
        <f>A55+1</f>
        <v>47</v>
      </c>
      <c r="B59" s="674" t="s">
        <v>582</v>
      </c>
      <c r="C59" s="684"/>
      <c r="D59" s="688">
        <v>5</v>
      </c>
      <c r="E59" s="645">
        <f t="shared" ref="E59:E65" si="2">$E$57*D59/100</f>
        <v>610050.728</v>
      </c>
      <c r="G59" s="630" t="s">
        <v>579</v>
      </c>
      <c r="H59" s="630">
        <v>8600000</v>
      </c>
    </row>
    <row r="60" spans="1:8" x14ac:dyDescent="0.25">
      <c r="A60" s="641">
        <f t="shared" ref="A60:A66" si="3">+A59+1</f>
        <v>48</v>
      </c>
      <c r="B60" s="689" t="s">
        <v>583</v>
      </c>
      <c r="C60" s="684"/>
      <c r="D60" s="688">
        <v>3</v>
      </c>
      <c r="E60" s="645">
        <f t="shared" si="2"/>
        <v>366030.43680000002</v>
      </c>
      <c r="G60" s="630" t="s">
        <v>581</v>
      </c>
      <c r="H60" s="630">
        <v>6945375.4188640006</v>
      </c>
    </row>
    <row r="61" spans="1:8" x14ac:dyDescent="0.25">
      <c r="A61" s="641">
        <f t="shared" si="3"/>
        <v>49</v>
      </c>
      <c r="B61" s="674" t="s">
        <v>585</v>
      </c>
      <c r="C61" s="684"/>
      <c r="D61" s="688">
        <v>4</v>
      </c>
      <c r="E61" s="645">
        <f t="shared" si="2"/>
        <v>488040.58240000001</v>
      </c>
      <c r="H61" s="630">
        <v>15545375.418864001</v>
      </c>
    </row>
    <row r="62" spans="1:8" x14ac:dyDescent="0.25">
      <c r="A62" s="641">
        <f t="shared" si="3"/>
        <v>50</v>
      </c>
      <c r="B62" s="689" t="s">
        <v>299</v>
      </c>
      <c r="C62" s="684"/>
      <c r="D62" s="688">
        <v>4</v>
      </c>
      <c r="E62" s="645">
        <f t="shared" si="2"/>
        <v>488040.58240000001</v>
      </c>
      <c r="G62" s="630" t="s">
        <v>584</v>
      </c>
    </row>
    <row r="63" spans="1:8" x14ac:dyDescent="0.25">
      <c r="A63" s="641">
        <f t="shared" si="3"/>
        <v>51</v>
      </c>
      <c r="B63" s="674" t="s">
        <v>586</v>
      </c>
      <c r="C63" s="684"/>
      <c r="D63" s="688">
        <v>5</v>
      </c>
      <c r="E63" s="645">
        <f t="shared" si="2"/>
        <v>610050.728</v>
      </c>
      <c r="G63" s="630" t="s">
        <v>579</v>
      </c>
      <c r="H63" s="630">
        <v>7856195.7087435247</v>
      </c>
    </row>
    <row r="64" spans="1:8" x14ac:dyDescent="0.25">
      <c r="A64" s="641">
        <f t="shared" si="3"/>
        <v>52</v>
      </c>
      <c r="B64" s="689" t="s">
        <v>588</v>
      </c>
      <c r="C64" s="684"/>
      <c r="D64" s="688">
        <v>6</v>
      </c>
      <c r="E64" s="645">
        <f t="shared" si="2"/>
        <v>732060.87360000005</v>
      </c>
      <c r="G64" s="630" t="s">
        <v>581</v>
      </c>
      <c r="H64" s="630">
        <v>6344677.7396851303</v>
      </c>
    </row>
    <row r="65" spans="1:11" x14ac:dyDescent="0.25">
      <c r="A65" s="641">
        <f t="shared" si="3"/>
        <v>53</v>
      </c>
      <c r="B65" s="674" t="s">
        <v>589</v>
      </c>
      <c r="C65" s="684"/>
      <c r="D65" s="688">
        <v>0.19</v>
      </c>
      <c r="E65" s="645">
        <f t="shared" si="2"/>
        <v>23181.927664000003</v>
      </c>
      <c r="G65" s="630" t="s">
        <v>587</v>
      </c>
      <c r="H65" s="630">
        <v>14200873.448428655</v>
      </c>
    </row>
    <row r="66" spans="1:11" ht="15.75" thickBot="1" x14ac:dyDescent="0.3">
      <c r="A66" s="690">
        <f t="shared" si="3"/>
        <v>54</v>
      </c>
      <c r="B66" s="691" t="s">
        <v>590</v>
      </c>
      <c r="C66" s="692" t="s">
        <v>591</v>
      </c>
      <c r="D66" s="693">
        <v>0</v>
      </c>
      <c r="E66" s="694">
        <v>26905</v>
      </c>
    </row>
    <row r="67" spans="1:11" ht="15.75" thickBot="1" x14ac:dyDescent="0.3">
      <c r="A67" s="663"/>
      <c r="B67" s="695" t="s">
        <v>592</v>
      </c>
      <c r="C67" s="679"/>
      <c r="D67" s="680"/>
      <c r="E67" s="696">
        <f>SUM(E57,E59:E66)</f>
        <v>15545375.418864001</v>
      </c>
    </row>
    <row r="68" spans="1:11" x14ac:dyDescent="0.25">
      <c r="A68" s="697"/>
      <c r="B68" s="698"/>
      <c r="C68" s="698"/>
      <c r="D68" s="699"/>
      <c r="E68" s="698"/>
      <c r="I68" s="705"/>
    </row>
    <row r="69" spans="1:11" x14ac:dyDescent="0.25">
      <c r="G69" s="630" t="s">
        <v>577</v>
      </c>
    </row>
    <row r="70" spans="1:11" x14ac:dyDescent="0.25">
      <c r="G70" s="630" t="s">
        <v>579</v>
      </c>
      <c r="H70" s="700">
        <f>+E23</f>
        <v>3200000</v>
      </c>
      <c r="I70" s="630" t="s">
        <v>600</v>
      </c>
      <c r="J70" s="706">
        <v>8.6488871076334309E-2</v>
      </c>
      <c r="K70" s="630" t="s">
        <v>594</v>
      </c>
    </row>
    <row r="71" spans="1:11" x14ac:dyDescent="0.25">
      <c r="H71" s="700">
        <f>+E25</f>
        <v>5400000</v>
      </c>
      <c r="I71" s="630" t="s">
        <v>601</v>
      </c>
    </row>
    <row r="72" spans="1:11" x14ac:dyDescent="0.25">
      <c r="G72" s="630" t="s">
        <v>581</v>
      </c>
      <c r="H72" s="700">
        <f>+E67-H70-H71</f>
        <v>6945375.4188640006</v>
      </c>
    </row>
    <row r="73" spans="1:11" x14ac:dyDescent="0.25">
      <c r="H73" s="700">
        <f>SUM(H70:H72)</f>
        <v>15545375.418864001</v>
      </c>
    </row>
    <row r="74" spans="1:11" x14ac:dyDescent="0.25">
      <c r="G74" s="630" t="s">
        <v>584</v>
      </c>
    </row>
    <row r="75" spans="1:11" x14ac:dyDescent="0.25">
      <c r="G75" s="630" t="s">
        <v>579</v>
      </c>
      <c r="H75" s="704">
        <f>+H70-(H70*J70)</f>
        <v>2923235.6125557302</v>
      </c>
      <c r="I75" s="630" t="s">
        <v>600</v>
      </c>
    </row>
    <row r="76" spans="1:11" x14ac:dyDescent="0.25">
      <c r="H76" s="704">
        <f>+H71-(H71*J70)</f>
        <v>4932960.0961877946</v>
      </c>
      <c r="I76" s="630" t="s">
        <v>601</v>
      </c>
    </row>
    <row r="77" spans="1:11" x14ac:dyDescent="0.25">
      <c r="G77" s="630" t="s">
        <v>581</v>
      </c>
      <c r="H77" s="704">
        <f>+H72-(H72*J70)</f>
        <v>6344677.7396851303</v>
      </c>
    </row>
    <row r="78" spans="1:11" x14ac:dyDescent="0.25">
      <c r="G78" s="630" t="s">
        <v>587</v>
      </c>
      <c r="H78" s="704">
        <f>SUM(H75:H77)</f>
        <v>14200873.448428655</v>
      </c>
    </row>
  </sheetData>
  <mergeCells count="1">
    <mergeCell ref="A1:E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F116"/>
  <sheetViews>
    <sheetView topLeftCell="B1" zoomScale="85" zoomScaleNormal="85" workbookViewId="0">
      <selection activeCell="G9" sqref="G9"/>
    </sheetView>
  </sheetViews>
  <sheetFormatPr baseColWidth="10" defaultColWidth="11.5703125" defaultRowHeight="15" x14ac:dyDescent="0.25"/>
  <cols>
    <col min="1" max="1" width="7.28515625" style="701" customWidth="1"/>
    <col min="2" max="2" width="67.28515625" style="1395" customWidth="1"/>
    <col min="3" max="3" width="11.5703125" style="1395"/>
    <col min="4" max="4" width="17.7109375" style="1448" customWidth="1"/>
    <col min="5" max="5" width="14.7109375" style="1395" customWidth="1"/>
    <col min="6" max="16384" width="11.5703125" style="1395"/>
  </cols>
  <sheetData>
    <row r="1" spans="1:6" ht="30" customHeight="1" thickBot="1" x14ac:dyDescent="0.3">
      <c r="A1" s="1819" t="s">
        <v>596</v>
      </c>
      <c r="B1" s="1820"/>
      <c r="C1" s="1820"/>
      <c r="D1" s="1820"/>
      <c r="E1" s="1821"/>
    </row>
    <row r="2" spans="1:6" ht="30" customHeight="1" thickBot="1" x14ac:dyDescent="0.3">
      <c r="A2" s="631" t="s">
        <v>521</v>
      </c>
      <c r="B2" s="1396" t="s">
        <v>522</v>
      </c>
      <c r="C2" s="1397" t="s">
        <v>66</v>
      </c>
      <c r="D2" s="1398" t="s">
        <v>523</v>
      </c>
      <c r="E2" s="1399" t="s">
        <v>524</v>
      </c>
    </row>
    <row r="3" spans="1:6" ht="15" customHeight="1" x14ac:dyDescent="0.25">
      <c r="A3" s="1400">
        <v>1</v>
      </c>
      <c r="B3" s="1401" t="s">
        <v>953</v>
      </c>
      <c r="C3" s="1402">
        <v>1</v>
      </c>
      <c r="D3" s="1402">
        <f>VLOOKUP(B3,[12]BasePrecios!$B:$C,2,)</f>
        <v>4757661.7903631963</v>
      </c>
      <c r="E3" s="1403">
        <f>C3*D3</f>
        <v>4757661.7903631963</v>
      </c>
    </row>
    <row r="4" spans="1:6" ht="15" customHeight="1" x14ac:dyDescent="0.25">
      <c r="A4" s="1404">
        <f>+A3+1</f>
        <v>2</v>
      </c>
      <c r="B4" s="1405" t="s">
        <v>954</v>
      </c>
      <c r="C4" s="1402">
        <v>2</v>
      </c>
      <c r="D4" s="1402">
        <f>VLOOKUP(B4,[12]BasePrecios!$B:$C,2,)</f>
        <v>4757661.7903631963</v>
      </c>
      <c r="E4" s="1406">
        <f t="shared" ref="E4:E67" si="0">C4*D4</f>
        <v>9515323.5807263926</v>
      </c>
      <c r="F4" s="1449">
        <f>+D4/E115</f>
        <v>4.3237982161102535E-2</v>
      </c>
    </row>
    <row r="5" spans="1:6" ht="15" customHeight="1" x14ac:dyDescent="0.25">
      <c r="A5" s="1404">
        <f t="shared" ref="A5:A68" si="1">+A4+1</f>
        <v>3</v>
      </c>
      <c r="B5" s="1407" t="s">
        <v>955</v>
      </c>
      <c r="C5" s="1402">
        <v>1</v>
      </c>
      <c r="D5" s="1402">
        <f>VLOOKUP(B5,[12]BasePrecios!$B:$C,2,)</f>
        <v>3620402.6201150413</v>
      </c>
      <c r="E5" s="1406">
        <f t="shared" si="0"/>
        <v>3620402.6201150413</v>
      </c>
    </row>
    <row r="6" spans="1:6" ht="15" customHeight="1" x14ac:dyDescent="0.25">
      <c r="A6" s="1404">
        <f t="shared" si="1"/>
        <v>4</v>
      </c>
      <c r="B6" s="1405" t="s">
        <v>956</v>
      </c>
      <c r="C6" s="1402">
        <v>0</v>
      </c>
      <c r="D6" s="1402">
        <f>VLOOKUP(B6,[12]BasePrecios!$B:$C,2,)</f>
        <v>4013761.3411554666</v>
      </c>
      <c r="E6" s="1406">
        <f t="shared" si="0"/>
        <v>0</v>
      </c>
    </row>
    <row r="7" spans="1:6" ht="15" customHeight="1" x14ac:dyDescent="0.25">
      <c r="A7" s="1404">
        <f t="shared" si="1"/>
        <v>5</v>
      </c>
      <c r="B7" s="1405" t="s">
        <v>957</v>
      </c>
      <c r="C7" s="1402">
        <v>0</v>
      </c>
      <c r="D7" s="1402">
        <f>VLOOKUP(B7,[12]BasePrecios!$B:$C,2,)</f>
        <v>3582225.7333789859</v>
      </c>
      <c r="E7" s="1406">
        <f t="shared" si="0"/>
        <v>0</v>
      </c>
    </row>
    <row r="8" spans="1:6" ht="15" customHeight="1" x14ac:dyDescent="0.25">
      <c r="A8" s="1404">
        <f t="shared" si="1"/>
        <v>6</v>
      </c>
      <c r="B8" s="1405" t="s">
        <v>958</v>
      </c>
      <c r="C8" s="1402">
        <v>0</v>
      </c>
      <c r="D8" s="1402">
        <f>VLOOKUP(B8,[12]BasePrecios!$B:$C,2,)</f>
        <v>3582225.7333789859</v>
      </c>
      <c r="E8" s="1406">
        <f t="shared" si="0"/>
        <v>0</v>
      </c>
    </row>
    <row r="9" spans="1:6" ht="15" customHeight="1" x14ac:dyDescent="0.25">
      <c r="A9" s="1404">
        <f t="shared" si="1"/>
        <v>7</v>
      </c>
      <c r="B9" s="1405" t="s">
        <v>959</v>
      </c>
      <c r="C9" s="1402">
        <v>0</v>
      </c>
      <c r="D9" s="1402">
        <f>VLOOKUP(B9,[12]BasePrecios!$B:$C,2,)</f>
        <v>4451344.7760429019</v>
      </c>
      <c r="E9" s="1406">
        <f t="shared" si="0"/>
        <v>0</v>
      </c>
    </row>
    <row r="10" spans="1:6" ht="15" customHeight="1" x14ac:dyDescent="0.25">
      <c r="A10" s="1404">
        <f t="shared" si="1"/>
        <v>8</v>
      </c>
      <c r="B10" s="1405" t="s">
        <v>960</v>
      </c>
      <c r="C10" s="1402">
        <v>0</v>
      </c>
      <c r="D10" s="1402">
        <f>VLOOKUP(B10,[12]BasePrecios!$B:$C,2,)</f>
        <v>4451344.7760429019</v>
      </c>
      <c r="E10" s="1406">
        <f t="shared" si="0"/>
        <v>0</v>
      </c>
    </row>
    <row r="11" spans="1:6" ht="15" customHeight="1" x14ac:dyDescent="0.25">
      <c r="A11" s="1404">
        <f t="shared" si="1"/>
        <v>9</v>
      </c>
      <c r="B11" s="1405" t="s">
        <v>961</v>
      </c>
      <c r="C11" s="1402">
        <v>0</v>
      </c>
      <c r="D11" s="1402">
        <f>VLOOKUP(B11,[12]BasePrecios!$B:$C,2,)</f>
        <v>2085688.4381467793</v>
      </c>
      <c r="E11" s="1406">
        <f t="shared" si="0"/>
        <v>0</v>
      </c>
    </row>
    <row r="12" spans="1:6" ht="15" customHeight="1" x14ac:dyDescent="0.25">
      <c r="A12" s="1404">
        <f t="shared" si="1"/>
        <v>10</v>
      </c>
      <c r="B12" s="1405" t="s">
        <v>962</v>
      </c>
      <c r="C12" s="1402">
        <v>0</v>
      </c>
      <c r="D12" s="1402">
        <f>VLOOKUP(B12,[12]BasePrecios!$B:$C,2,)</f>
        <v>2373249.3612632807</v>
      </c>
      <c r="E12" s="1406">
        <f t="shared" si="0"/>
        <v>0</v>
      </c>
    </row>
    <row r="13" spans="1:6" ht="15" customHeight="1" x14ac:dyDescent="0.25">
      <c r="A13" s="1404">
        <f t="shared" si="1"/>
        <v>11</v>
      </c>
      <c r="B13" s="1405" t="s">
        <v>963</v>
      </c>
      <c r="C13" s="1402">
        <v>0</v>
      </c>
      <c r="D13" s="1402">
        <f>VLOOKUP(B13,[12]BasePrecios!$B:$C,2,)</f>
        <v>1975511.6314946085</v>
      </c>
      <c r="E13" s="1406">
        <f t="shared" si="0"/>
        <v>0</v>
      </c>
    </row>
    <row r="14" spans="1:6" ht="15" customHeight="1" x14ac:dyDescent="0.25">
      <c r="A14" s="1404">
        <f t="shared" si="1"/>
        <v>12</v>
      </c>
      <c r="B14" s="1405" t="s">
        <v>964</v>
      </c>
      <c r="C14" s="1402">
        <v>0</v>
      </c>
      <c r="D14" s="1402">
        <f>VLOOKUP(B14,[12]BasePrecios!$B:$C,2,)</f>
        <v>356921.7807948587</v>
      </c>
      <c r="E14" s="1406">
        <f t="shared" si="0"/>
        <v>0</v>
      </c>
    </row>
    <row r="15" spans="1:6" ht="15" customHeight="1" x14ac:dyDescent="0.25">
      <c r="A15" s="1404">
        <f t="shared" si="1"/>
        <v>13</v>
      </c>
      <c r="B15" s="1405" t="s">
        <v>965</v>
      </c>
      <c r="C15" s="1402">
        <v>4</v>
      </c>
      <c r="D15" s="1402">
        <f>VLOOKUP(B15,[12]BasePrecios!$B:$C,2,)</f>
        <v>535382.67119228805</v>
      </c>
      <c r="E15" s="1406">
        <f t="shared" si="0"/>
        <v>2141530.6847691522</v>
      </c>
    </row>
    <row r="16" spans="1:6" ht="15" customHeight="1" x14ac:dyDescent="0.25">
      <c r="A16" s="641">
        <f t="shared" si="1"/>
        <v>14</v>
      </c>
      <c r="B16" s="1405" t="s">
        <v>966</v>
      </c>
      <c r="C16" s="1402">
        <v>0</v>
      </c>
      <c r="D16" s="1402">
        <f>VLOOKUP(B16,[12]BasePrecios!$B:$C,2,)</f>
        <v>19422.68870866338</v>
      </c>
      <c r="E16" s="1406">
        <f t="shared" si="0"/>
        <v>0</v>
      </c>
    </row>
    <row r="17" spans="1:5" ht="15" customHeight="1" x14ac:dyDescent="0.25">
      <c r="A17" s="641">
        <f t="shared" si="1"/>
        <v>15</v>
      </c>
      <c r="B17" s="648" t="s">
        <v>967</v>
      </c>
      <c r="C17" s="1402">
        <v>0</v>
      </c>
      <c r="D17" s="1402">
        <f>VLOOKUP(B17,[12]BasePrecios!$B:$C,2,)</f>
        <v>17667.875881687312</v>
      </c>
      <c r="E17" s="1406">
        <f t="shared" si="0"/>
        <v>0</v>
      </c>
    </row>
    <row r="18" spans="1:5" ht="15" customHeight="1" x14ac:dyDescent="0.25">
      <c r="A18" s="641">
        <f t="shared" si="1"/>
        <v>16</v>
      </c>
      <c r="B18" s="648" t="s">
        <v>968</v>
      </c>
      <c r="C18" s="1402">
        <v>0</v>
      </c>
      <c r="D18" s="1402">
        <f>VLOOKUP(B18,[12]BasePrecios!$B:$C,2,)</f>
        <v>10244.845029736616</v>
      </c>
      <c r="E18" s="1406">
        <f t="shared" si="0"/>
        <v>0</v>
      </c>
    </row>
    <row r="19" spans="1:5" ht="15" customHeight="1" x14ac:dyDescent="0.25">
      <c r="A19" s="641">
        <f t="shared" si="1"/>
        <v>17</v>
      </c>
      <c r="B19" s="1405" t="s">
        <v>969</v>
      </c>
      <c r="C19" s="1402">
        <v>0</v>
      </c>
      <c r="D19" s="1402">
        <f>VLOOKUP(B19,[12]BasePrecios!$B:$C,2,)</f>
        <v>22771.574114353967</v>
      </c>
      <c r="E19" s="1406">
        <f t="shared" si="0"/>
        <v>0</v>
      </c>
    </row>
    <row r="20" spans="1:5" ht="15" customHeight="1" x14ac:dyDescent="0.25">
      <c r="A20" s="641">
        <f t="shared" si="1"/>
        <v>18</v>
      </c>
      <c r="B20" s="648" t="s">
        <v>970</v>
      </c>
      <c r="C20" s="1402">
        <v>3</v>
      </c>
      <c r="D20" s="1402">
        <f>VLOOKUP(B20,[12]BasePrecios!$B:$C,2,)</f>
        <v>16043.381478334746</v>
      </c>
      <c r="E20" s="1406">
        <f t="shared" si="0"/>
        <v>48130.144435004237</v>
      </c>
    </row>
    <row r="21" spans="1:5" ht="15" customHeight="1" x14ac:dyDescent="0.25">
      <c r="A21" s="641">
        <f t="shared" si="1"/>
        <v>19</v>
      </c>
      <c r="B21" s="1405" t="s">
        <v>971</v>
      </c>
      <c r="C21" s="1402">
        <v>0</v>
      </c>
      <c r="D21" s="1402">
        <f>VLOOKUP(B21,[12]BasePrecios!$B:$C,2,)</f>
        <v>27502.939677145281</v>
      </c>
      <c r="E21" s="1406">
        <f t="shared" si="0"/>
        <v>0</v>
      </c>
    </row>
    <row r="22" spans="1:5" ht="15" customHeight="1" x14ac:dyDescent="0.25">
      <c r="A22" s="641">
        <f t="shared" si="1"/>
        <v>20</v>
      </c>
      <c r="B22" s="648" t="s">
        <v>972</v>
      </c>
      <c r="C22" s="1402">
        <v>0</v>
      </c>
      <c r="D22" s="1402">
        <f>VLOOKUP(B22,[12]BasePrecios!$B:$C,2,)</f>
        <v>14517.168289484096</v>
      </c>
      <c r="E22" s="1406">
        <f t="shared" si="0"/>
        <v>0</v>
      </c>
    </row>
    <row r="23" spans="1:5" ht="15" customHeight="1" x14ac:dyDescent="0.25">
      <c r="A23" s="641">
        <f t="shared" si="1"/>
        <v>21</v>
      </c>
      <c r="B23" s="1405" t="s">
        <v>973</v>
      </c>
      <c r="C23" s="1402">
        <v>0</v>
      </c>
      <c r="D23" s="1402">
        <f>VLOOKUP(B23,[12]BasePrecios!$B:$C,2,)</f>
        <v>22048.582386848648</v>
      </c>
      <c r="E23" s="1406">
        <f t="shared" si="0"/>
        <v>0</v>
      </c>
    </row>
    <row r="24" spans="1:5" ht="15" customHeight="1" x14ac:dyDescent="0.25">
      <c r="A24" s="641">
        <f t="shared" si="1"/>
        <v>22</v>
      </c>
      <c r="B24" s="1405" t="s">
        <v>974</v>
      </c>
      <c r="C24" s="1402">
        <v>0</v>
      </c>
      <c r="D24" s="1402">
        <f>VLOOKUP(B24,[12]BasePrecios!$B:$C,2,)</f>
        <v>8480.0730671197944</v>
      </c>
      <c r="E24" s="1406">
        <f t="shared" si="0"/>
        <v>0</v>
      </c>
    </row>
    <row r="25" spans="1:5" ht="15" customHeight="1" x14ac:dyDescent="0.25">
      <c r="A25" s="641">
        <f t="shared" si="1"/>
        <v>23</v>
      </c>
      <c r="B25" s="1405" t="s">
        <v>975</v>
      </c>
      <c r="C25" s="1402">
        <v>66</v>
      </c>
      <c r="D25" s="1402">
        <f>VLOOKUP(B25,[12]BasePrecios!$B:$C,2,)</f>
        <v>19422.68870866338</v>
      </c>
      <c r="E25" s="1406">
        <f t="shared" si="0"/>
        <v>1281897.454771783</v>
      </c>
    </row>
    <row r="26" spans="1:5" ht="15" customHeight="1" x14ac:dyDescent="0.25">
      <c r="A26" s="641">
        <f t="shared" si="1"/>
        <v>24</v>
      </c>
      <c r="B26" s="1405" t="s">
        <v>976</v>
      </c>
      <c r="C26" s="1402"/>
      <c r="D26" s="1402">
        <f>VLOOKUP(B26,[12]BasePrecios!$B:$C,2,)</f>
        <v>23307.226450396054</v>
      </c>
      <c r="E26" s="1406">
        <f t="shared" si="0"/>
        <v>0</v>
      </c>
    </row>
    <row r="27" spans="1:5" ht="15" customHeight="1" x14ac:dyDescent="0.25">
      <c r="A27" s="641">
        <f t="shared" si="1"/>
        <v>25</v>
      </c>
      <c r="B27" s="1405" t="s">
        <v>977</v>
      </c>
      <c r="C27" s="1402">
        <v>0</v>
      </c>
      <c r="D27" s="1402">
        <f>VLOOKUP(B27,[12]BasePrecios!$B:$C,2,)</f>
        <v>17667.875881687312</v>
      </c>
      <c r="E27" s="1406">
        <f t="shared" si="0"/>
        <v>0</v>
      </c>
    </row>
    <row r="28" spans="1:5" ht="15" customHeight="1" x14ac:dyDescent="0.25">
      <c r="A28" s="641">
        <f t="shared" si="1"/>
        <v>26</v>
      </c>
      <c r="B28" s="1405" t="s">
        <v>978</v>
      </c>
      <c r="C28" s="1402">
        <v>0</v>
      </c>
      <c r="D28" s="1402">
        <f>VLOOKUP(B28,[12]BasePrecios!$B:$C,2,)</f>
        <v>16274.709915919111</v>
      </c>
      <c r="E28" s="1406">
        <f t="shared" si="0"/>
        <v>0</v>
      </c>
    </row>
    <row r="29" spans="1:5" ht="15" customHeight="1" x14ac:dyDescent="0.25">
      <c r="A29" s="641">
        <f t="shared" si="1"/>
        <v>27</v>
      </c>
      <c r="B29" s="1405" t="s">
        <v>979</v>
      </c>
      <c r="C29" s="1402">
        <v>2</v>
      </c>
      <c r="D29" s="1402">
        <f>VLOOKUP(B29,[12]BasePrecios!$B:$C,2,)</f>
        <v>20134.448986757969</v>
      </c>
      <c r="E29" s="1406">
        <f t="shared" si="0"/>
        <v>40268.897973515937</v>
      </c>
    </row>
    <row r="30" spans="1:5" ht="15" customHeight="1" x14ac:dyDescent="0.25">
      <c r="A30" s="641">
        <f t="shared" si="1"/>
        <v>28</v>
      </c>
      <c r="B30" s="1405" t="s">
        <v>980</v>
      </c>
      <c r="C30" s="1402">
        <v>0</v>
      </c>
      <c r="D30" s="1402">
        <f>VLOOKUP(B30,[12]BasePrecios!$B:$C,2,)</f>
        <v>19217.06603234453</v>
      </c>
      <c r="E30" s="1406">
        <f t="shared" si="0"/>
        <v>0</v>
      </c>
    </row>
    <row r="31" spans="1:5" ht="15" customHeight="1" x14ac:dyDescent="0.25">
      <c r="A31" s="641">
        <f t="shared" si="1"/>
        <v>29</v>
      </c>
      <c r="B31" s="1405" t="s">
        <v>981</v>
      </c>
      <c r="C31" s="1402">
        <v>5</v>
      </c>
      <c r="D31" s="1402">
        <f>VLOOKUP(B31,[12]BasePrecios!$B:$C,2,)</f>
        <v>10313.60237892948</v>
      </c>
      <c r="E31" s="1406">
        <f t="shared" si="0"/>
        <v>51568.011894647396</v>
      </c>
    </row>
    <row r="32" spans="1:5" ht="15" customHeight="1" x14ac:dyDescent="0.25">
      <c r="A32" s="641">
        <f t="shared" si="1"/>
        <v>30</v>
      </c>
      <c r="B32" s="1405" t="s">
        <v>982</v>
      </c>
      <c r="C32" s="1402">
        <v>1</v>
      </c>
      <c r="D32" s="1402">
        <f>VLOOKUP(B32,[12]BasePrecios!$B:$C,2,)</f>
        <v>12376.322854715376</v>
      </c>
      <c r="E32" s="1406">
        <f t="shared" si="0"/>
        <v>12376.322854715376</v>
      </c>
    </row>
    <row r="33" spans="1:5" ht="15" customHeight="1" x14ac:dyDescent="0.25">
      <c r="A33" s="641">
        <f t="shared" si="1"/>
        <v>31</v>
      </c>
      <c r="B33" s="1405" t="s">
        <v>983</v>
      </c>
      <c r="C33" s="1402">
        <v>3</v>
      </c>
      <c r="D33" s="1402">
        <f>VLOOKUP(B33,[12]BasePrecios!$B:$C,2,)</f>
        <v>27502.939677145281</v>
      </c>
      <c r="E33" s="1406">
        <f t="shared" si="0"/>
        <v>82508.819031435851</v>
      </c>
    </row>
    <row r="34" spans="1:5" ht="15" customHeight="1" x14ac:dyDescent="0.25">
      <c r="A34" s="641">
        <f t="shared" si="1"/>
        <v>32</v>
      </c>
      <c r="B34" s="1405" t="s">
        <v>984</v>
      </c>
      <c r="C34" s="1402">
        <v>16</v>
      </c>
      <c r="D34" s="1402">
        <f>VLOOKUP(B34,[12]BasePrecios!$B:$C,2,)</f>
        <v>49690.224289015481</v>
      </c>
      <c r="E34" s="1406">
        <f t="shared" si="0"/>
        <v>795043.5886242477</v>
      </c>
    </row>
    <row r="35" spans="1:5" ht="15" customHeight="1" x14ac:dyDescent="0.25">
      <c r="A35" s="641">
        <f t="shared" si="1"/>
        <v>33</v>
      </c>
      <c r="B35" s="1405" t="s">
        <v>985</v>
      </c>
      <c r="C35" s="1402">
        <v>0</v>
      </c>
      <c r="D35" s="1402">
        <f>VLOOKUP(B35,[12]BasePrecios!$B:$C,2,)</f>
        <v>11344.617260273973</v>
      </c>
      <c r="E35" s="1406">
        <f t="shared" si="0"/>
        <v>0</v>
      </c>
    </row>
    <row r="36" spans="1:5" ht="15" customHeight="1" x14ac:dyDescent="0.25">
      <c r="A36" s="641">
        <f t="shared" si="1"/>
        <v>34</v>
      </c>
      <c r="B36" s="1405" t="s">
        <v>986</v>
      </c>
      <c r="C36" s="1402">
        <v>0</v>
      </c>
      <c r="D36" s="1402">
        <f>VLOOKUP(B36,[12]BasePrecios!$B:$C,2,)</f>
        <v>13613.540712328768</v>
      </c>
      <c r="E36" s="1406">
        <f t="shared" si="0"/>
        <v>0</v>
      </c>
    </row>
    <row r="37" spans="1:5" ht="15" customHeight="1" x14ac:dyDescent="0.25">
      <c r="A37" s="641">
        <f t="shared" si="1"/>
        <v>35</v>
      </c>
      <c r="B37" s="1405" t="s">
        <v>987</v>
      </c>
      <c r="C37" s="1402">
        <v>0</v>
      </c>
      <c r="D37" s="1402">
        <f>VLOOKUP(B37,[12]BasePrecios!$B:$C,2,)</f>
        <v>70328.25</v>
      </c>
      <c r="E37" s="1406">
        <f t="shared" si="0"/>
        <v>0</v>
      </c>
    </row>
    <row r="38" spans="1:5" ht="15" customHeight="1" x14ac:dyDescent="0.25">
      <c r="A38" s="641">
        <f t="shared" si="1"/>
        <v>36</v>
      </c>
      <c r="B38" s="1405" t="s">
        <v>988</v>
      </c>
      <c r="C38" s="1402">
        <v>0</v>
      </c>
      <c r="D38" s="1402">
        <f>VLOOKUP(B38,[12]BasePrecios!$B:$C,2,)</f>
        <v>77624.997963459333</v>
      </c>
      <c r="E38" s="1406">
        <f t="shared" si="0"/>
        <v>0</v>
      </c>
    </row>
    <row r="39" spans="1:5" ht="15" customHeight="1" x14ac:dyDescent="0.25">
      <c r="A39" s="641">
        <f t="shared" si="1"/>
        <v>37</v>
      </c>
      <c r="B39" s="1405" t="s">
        <v>989</v>
      </c>
      <c r="C39" s="1402">
        <v>0</v>
      </c>
      <c r="D39" s="1402">
        <f>VLOOKUP(B39,[12]BasePrecios!$B:$C,2,)</f>
        <v>97031.24745432417</v>
      </c>
      <c r="E39" s="1406">
        <f t="shared" si="0"/>
        <v>0</v>
      </c>
    </row>
    <row r="40" spans="1:5" ht="15" customHeight="1" x14ac:dyDescent="0.25">
      <c r="A40" s="641">
        <f t="shared" si="1"/>
        <v>38</v>
      </c>
      <c r="B40" s="1405" t="s">
        <v>990</v>
      </c>
      <c r="C40" s="1402">
        <v>0</v>
      </c>
      <c r="D40" s="1402">
        <f>VLOOKUP(B40,[12]BasePrecios!$B:$C,2,)</f>
        <v>38214.471438921231</v>
      </c>
      <c r="E40" s="1406">
        <f t="shared" si="0"/>
        <v>0</v>
      </c>
    </row>
    <row r="41" spans="1:5" ht="15" customHeight="1" x14ac:dyDescent="0.25">
      <c r="A41" s="641">
        <f t="shared" si="1"/>
        <v>39</v>
      </c>
      <c r="B41" s="1405" t="s">
        <v>991</v>
      </c>
      <c r="C41" s="1402">
        <v>0</v>
      </c>
      <c r="D41" s="1402">
        <f>VLOOKUP(B41,[12]BasePrecios!$B:$C,2,)</f>
        <v>428442.49444774626</v>
      </c>
      <c r="E41" s="1406">
        <f t="shared" si="0"/>
        <v>0</v>
      </c>
    </row>
    <row r="42" spans="1:5" ht="15" customHeight="1" x14ac:dyDescent="0.25">
      <c r="A42" s="641">
        <f t="shared" si="1"/>
        <v>40</v>
      </c>
      <c r="B42" s="1405" t="s">
        <v>992</v>
      </c>
      <c r="C42" s="1402">
        <v>0</v>
      </c>
      <c r="D42" s="1402">
        <f>VLOOKUP(B42,[12]BasePrecios!$B:$C,2,)</f>
        <v>275142.96506206214</v>
      </c>
      <c r="E42" s="1406">
        <f t="shared" si="0"/>
        <v>0</v>
      </c>
    </row>
    <row r="43" spans="1:5" ht="15" customHeight="1" x14ac:dyDescent="0.25">
      <c r="A43" s="641">
        <f t="shared" si="1"/>
        <v>41</v>
      </c>
      <c r="B43" s="1405" t="s">
        <v>993</v>
      </c>
      <c r="C43" s="1402">
        <v>0</v>
      </c>
      <c r="D43" s="1402">
        <f>VLOOKUP(B43,[12]BasePrecios!$B:$C,2,)</f>
        <v>205952.18618756157</v>
      </c>
      <c r="E43" s="1406">
        <f t="shared" si="0"/>
        <v>0</v>
      </c>
    </row>
    <row r="44" spans="1:5" ht="15" customHeight="1" x14ac:dyDescent="0.25">
      <c r="A44" s="641">
        <f t="shared" si="1"/>
        <v>42</v>
      </c>
      <c r="B44" s="1405" t="s">
        <v>994</v>
      </c>
      <c r="C44" s="1402">
        <v>7</v>
      </c>
      <c r="D44" s="1402">
        <f>VLOOKUP(B44,[12]BasePrecios!$B:$C,2,)</f>
        <v>142098.52166525062</v>
      </c>
      <c r="E44" s="1406">
        <f t="shared" si="0"/>
        <v>994689.65165675431</v>
      </c>
    </row>
    <row r="45" spans="1:5" ht="15" customHeight="1" x14ac:dyDescent="0.25">
      <c r="A45" s="641">
        <f t="shared" si="1"/>
        <v>43</v>
      </c>
      <c r="B45" s="1405" t="s">
        <v>995</v>
      </c>
      <c r="C45" s="1402">
        <v>0</v>
      </c>
      <c r="D45" s="1402">
        <f>VLOOKUP(B45,[12]BasePrecios!$B:$C,2,)</f>
        <v>121272.17948155201</v>
      </c>
      <c r="E45" s="1406">
        <f t="shared" si="0"/>
        <v>0</v>
      </c>
    </row>
    <row r="46" spans="1:5" ht="15" customHeight="1" x14ac:dyDescent="0.25">
      <c r="A46" s="641">
        <f t="shared" si="1"/>
        <v>44</v>
      </c>
      <c r="B46" s="1405" t="s">
        <v>996</v>
      </c>
      <c r="C46" s="1402">
        <v>0</v>
      </c>
      <c r="D46" s="1402">
        <f>VLOOKUP(B46,[12]BasePrecios!$B:$C,2,)</f>
        <v>161710.61875691576</v>
      </c>
      <c r="E46" s="1406">
        <f t="shared" si="0"/>
        <v>0</v>
      </c>
    </row>
    <row r="47" spans="1:5" ht="15" customHeight="1" x14ac:dyDescent="0.25">
      <c r="A47" s="641">
        <f t="shared" si="1"/>
        <v>45</v>
      </c>
      <c r="B47" s="1405" t="s">
        <v>997</v>
      </c>
      <c r="C47" s="1402">
        <v>23</v>
      </c>
      <c r="D47" s="1402">
        <f>VLOOKUP(B47,[12]BasePrecios!$B:$C,2,)</f>
        <v>156209.08734740643</v>
      </c>
      <c r="E47" s="1406">
        <f t="shared" si="0"/>
        <v>3592809.0089903479</v>
      </c>
    </row>
    <row r="48" spans="1:5" ht="15" customHeight="1" x14ac:dyDescent="0.25">
      <c r="A48" s="641">
        <f t="shared" si="1"/>
        <v>46</v>
      </c>
      <c r="B48" s="1405" t="s">
        <v>998</v>
      </c>
      <c r="C48" s="1402">
        <v>0</v>
      </c>
      <c r="D48" s="1402">
        <f>VLOOKUP(B48,[12]BasePrecios!$B:$C,2,)</f>
        <v>98769.932115547985</v>
      </c>
      <c r="E48" s="1406">
        <f t="shared" si="0"/>
        <v>0</v>
      </c>
    </row>
    <row r="49" spans="1:5" ht="15" customHeight="1" x14ac:dyDescent="0.25">
      <c r="A49" s="641">
        <f t="shared" si="1"/>
        <v>47</v>
      </c>
      <c r="B49" s="1405" t="s">
        <v>999</v>
      </c>
      <c r="C49" s="1402">
        <v>0</v>
      </c>
      <c r="D49" s="1402">
        <f>VLOOKUP(B49,[12]BasePrecios!$B:$C,2,)</f>
        <v>68757.349192863199</v>
      </c>
      <c r="E49" s="1406">
        <f t="shared" si="0"/>
        <v>0</v>
      </c>
    </row>
    <row r="50" spans="1:5" ht="15" customHeight="1" x14ac:dyDescent="0.25">
      <c r="A50" s="641">
        <f t="shared" si="1"/>
        <v>48</v>
      </c>
      <c r="B50" s="1405" t="s">
        <v>1000</v>
      </c>
      <c r="C50" s="1402">
        <v>7</v>
      </c>
      <c r="D50" s="1402">
        <f>VLOOKUP(B50,[12]BasePrecios!$B:$C,2,)</f>
        <v>142098.52166525062</v>
      </c>
      <c r="E50" s="1406">
        <f t="shared" si="0"/>
        <v>994689.65165675431</v>
      </c>
    </row>
    <row r="51" spans="1:5" ht="15" customHeight="1" x14ac:dyDescent="0.25">
      <c r="A51" s="641">
        <f t="shared" si="1"/>
        <v>49</v>
      </c>
      <c r="B51" s="1405" t="s">
        <v>1001</v>
      </c>
      <c r="C51" s="1402">
        <v>0</v>
      </c>
      <c r="D51" s="1402">
        <f>VLOOKUP(B51,[12]BasePrecios!$B:$C,2,)</f>
        <v>68757.349192863199</v>
      </c>
      <c r="E51" s="1406">
        <f t="shared" si="0"/>
        <v>0</v>
      </c>
    </row>
    <row r="52" spans="1:5" ht="15" customHeight="1" x14ac:dyDescent="0.25">
      <c r="A52" s="641">
        <f t="shared" si="1"/>
        <v>50</v>
      </c>
      <c r="B52" s="1405" t="s">
        <v>1002</v>
      </c>
      <c r="C52" s="1402">
        <v>72</v>
      </c>
      <c r="D52" s="1402">
        <f>VLOOKUP(B52,[12]BasePrecios!$B:$C,2,)</f>
        <v>5264</v>
      </c>
      <c r="E52" s="1406">
        <f t="shared" si="0"/>
        <v>379008</v>
      </c>
    </row>
    <row r="53" spans="1:5" ht="15" customHeight="1" x14ac:dyDescent="0.25">
      <c r="A53" s="641">
        <f t="shared" si="1"/>
        <v>51</v>
      </c>
      <c r="B53" s="1405" t="s">
        <v>1003</v>
      </c>
      <c r="C53" s="1402">
        <v>6</v>
      </c>
      <c r="D53" s="1402">
        <f>VLOOKUP(B53,[12]BasePrecios!$B:$C,2,)</f>
        <v>1682.2631435853864</v>
      </c>
      <c r="E53" s="1406">
        <f t="shared" si="0"/>
        <v>10093.578861512318</v>
      </c>
    </row>
    <row r="54" spans="1:5" ht="15" customHeight="1" x14ac:dyDescent="0.25">
      <c r="A54" s="641">
        <f t="shared" si="1"/>
        <v>52</v>
      </c>
      <c r="B54" s="1405" t="s">
        <v>1004</v>
      </c>
      <c r="C54" s="1402">
        <v>0</v>
      </c>
      <c r="D54" s="1402">
        <f>VLOOKUP(B54,[12]BasePrecios!$B:$C,2,)</f>
        <v>1603.711978414457</v>
      </c>
      <c r="E54" s="1406">
        <f t="shared" si="0"/>
        <v>0</v>
      </c>
    </row>
    <row r="55" spans="1:5" ht="15" customHeight="1" x14ac:dyDescent="0.25">
      <c r="A55" s="641">
        <f t="shared" si="1"/>
        <v>53</v>
      </c>
      <c r="B55" s="1405" t="s">
        <v>1005</v>
      </c>
      <c r="C55" s="1402">
        <v>0</v>
      </c>
      <c r="D55" s="1402">
        <f>VLOOKUP(B55,[12]BasePrecios!$B:$C,2,)</f>
        <v>2044.8180299915036</v>
      </c>
      <c r="E55" s="1406">
        <f t="shared" si="0"/>
        <v>0</v>
      </c>
    </row>
    <row r="56" spans="1:5" ht="15" customHeight="1" x14ac:dyDescent="0.25">
      <c r="A56" s="1404">
        <f t="shared" si="1"/>
        <v>54</v>
      </c>
      <c r="B56" s="1405" t="s">
        <v>1006</v>
      </c>
      <c r="C56" s="1402">
        <v>0</v>
      </c>
      <c r="D56" s="1402">
        <f>VLOOKUP(B56,[12]BasePrecios!$B:$C,2,)</f>
        <v>1077398.5642924428</v>
      </c>
      <c r="E56" s="1406">
        <f t="shared" si="0"/>
        <v>0</v>
      </c>
    </row>
    <row r="57" spans="1:5" ht="15" customHeight="1" x14ac:dyDescent="0.25">
      <c r="A57" s="1404">
        <f t="shared" si="1"/>
        <v>55</v>
      </c>
      <c r="B57" s="1405" t="s">
        <v>1007</v>
      </c>
      <c r="C57" s="1402">
        <v>4</v>
      </c>
      <c r="D57" s="1402">
        <f>VLOOKUP(B57,[12]BasePrecios!$B:$C,2,)</f>
        <v>1077398.5642924428</v>
      </c>
      <c r="E57" s="1406">
        <f t="shared" si="0"/>
        <v>4309594.257169771</v>
      </c>
    </row>
    <row r="58" spans="1:5" ht="15" customHeight="1" x14ac:dyDescent="0.25">
      <c r="A58" s="1404">
        <f t="shared" si="1"/>
        <v>56</v>
      </c>
      <c r="B58" s="1405" t="s">
        <v>1008</v>
      </c>
      <c r="C58" s="1402">
        <v>0</v>
      </c>
      <c r="D58" s="1402">
        <f>VLOOKUP(B58,[12]BasePrecios!$B:$C,2,)</f>
        <v>985813.84434884635</v>
      </c>
      <c r="E58" s="1406">
        <f t="shared" si="0"/>
        <v>0</v>
      </c>
    </row>
    <row r="59" spans="1:5" ht="15" customHeight="1" x14ac:dyDescent="0.25">
      <c r="A59" s="1404">
        <f t="shared" si="1"/>
        <v>57</v>
      </c>
      <c r="B59" s="1405" t="s">
        <v>1009</v>
      </c>
      <c r="C59" s="1402">
        <v>0</v>
      </c>
      <c r="D59" s="1402">
        <f>VLOOKUP(B59,[12]BasePrecios!$B:$C,2,)</f>
        <v>1616097.846438664</v>
      </c>
      <c r="E59" s="1406">
        <f t="shared" si="0"/>
        <v>0</v>
      </c>
    </row>
    <row r="60" spans="1:5" ht="15" customHeight="1" x14ac:dyDescent="0.25">
      <c r="A60" s="1404">
        <f t="shared" si="1"/>
        <v>58</v>
      </c>
      <c r="B60" s="1405" t="s">
        <v>1010</v>
      </c>
      <c r="C60" s="1402">
        <v>2</v>
      </c>
      <c r="D60" s="1402">
        <f>VLOOKUP(B60,[12]BasePrecios!$B:$C,2,)</f>
        <v>2957441.5330465389</v>
      </c>
      <c r="E60" s="1406">
        <f t="shared" si="0"/>
        <v>5914883.0660930779</v>
      </c>
    </row>
    <row r="61" spans="1:5" ht="15" customHeight="1" x14ac:dyDescent="0.25">
      <c r="A61" s="1404">
        <f t="shared" si="1"/>
        <v>59</v>
      </c>
      <c r="B61" s="1405" t="s">
        <v>1011</v>
      </c>
      <c r="C61" s="1402">
        <v>3</v>
      </c>
      <c r="D61" s="1402">
        <f>VLOOKUP(B61,[12]BasePrecios!$B:$C,2,)</f>
        <v>1077398.5642924428</v>
      </c>
      <c r="E61" s="1406">
        <f t="shared" si="0"/>
        <v>3232195.692877328</v>
      </c>
    </row>
    <row r="62" spans="1:5" ht="15" customHeight="1" x14ac:dyDescent="0.25">
      <c r="A62" s="1404">
        <f t="shared" si="1"/>
        <v>60</v>
      </c>
      <c r="B62" s="1405" t="s">
        <v>1012</v>
      </c>
      <c r="C62" s="1402">
        <v>0</v>
      </c>
      <c r="D62" s="1402">
        <f>VLOOKUP(B62,[12]BasePrecios!$B:$C,2,)</f>
        <v>2957441.5330465389</v>
      </c>
      <c r="E62" s="1406">
        <f t="shared" si="0"/>
        <v>0</v>
      </c>
    </row>
    <row r="63" spans="1:5" ht="15" customHeight="1" x14ac:dyDescent="0.25">
      <c r="A63" s="1404">
        <f t="shared" si="1"/>
        <v>61</v>
      </c>
      <c r="B63" s="1405" t="s">
        <v>1013</v>
      </c>
      <c r="C63" s="1402">
        <v>0</v>
      </c>
      <c r="D63" s="1402">
        <f>VLOOKUP(B63,[12]BasePrecios!$B:$C,2,)</f>
        <v>9989.24</v>
      </c>
      <c r="E63" s="1406">
        <f t="shared" si="0"/>
        <v>0</v>
      </c>
    </row>
    <row r="64" spans="1:5" ht="15" customHeight="1" x14ac:dyDescent="0.25">
      <c r="A64" s="1404">
        <f t="shared" si="1"/>
        <v>62</v>
      </c>
      <c r="B64" s="1405" t="s">
        <v>1014</v>
      </c>
      <c r="C64" s="1402">
        <v>18</v>
      </c>
      <c r="D64" s="1402">
        <f>VLOOKUP(B64,[12]BasePrecios!$B:$C,2,)</f>
        <v>11336.859210011731</v>
      </c>
      <c r="E64" s="1406">
        <f t="shared" si="0"/>
        <v>204063.46578021115</v>
      </c>
    </row>
    <row r="65" spans="1:5" ht="15" customHeight="1" x14ac:dyDescent="0.25">
      <c r="A65" s="1404">
        <f t="shared" si="1"/>
        <v>63</v>
      </c>
      <c r="B65" s="1405" t="s">
        <v>1015</v>
      </c>
      <c r="C65" s="1402">
        <v>172</v>
      </c>
      <c r="D65" s="1402">
        <f>VLOOKUP(B65,[12]BasePrecios!$B:$C,2,)</f>
        <v>21631.106835628019</v>
      </c>
      <c r="E65" s="1406">
        <f t="shared" si="0"/>
        <v>3720550.3757280195</v>
      </c>
    </row>
    <row r="66" spans="1:5" ht="15" customHeight="1" x14ac:dyDescent="0.25">
      <c r="A66" s="1404">
        <f t="shared" si="1"/>
        <v>64</v>
      </c>
      <c r="B66" s="1405" t="s">
        <v>1016</v>
      </c>
      <c r="C66" s="1402">
        <v>0</v>
      </c>
      <c r="D66" s="1402">
        <f>VLOOKUP(B66,[12]BasePrecios!$B:$C,2,)</f>
        <v>18791.852962066183</v>
      </c>
      <c r="E66" s="1406">
        <f t="shared" si="0"/>
        <v>0</v>
      </c>
    </row>
    <row r="67" spans="1:5" ht="15" customHeight="1" x14ac:dyDescent="0.25">
      <c r="A67" s="1404">
        <f t="shared" si="1"/>
        <v>65</v>
      </c>
      <c r="B67" s="1405" t="s">
        <v>1017</v>
      </c>
      <c r="C67" s="1402">
        <v>0</v>
      </c>
      <c r="D67" s="1402">
        <f>VLOOKUP(B67,[12]BasePrecios!$B:$C,2,)</f>
        <v>1063055.5207550856</v>
      </c>
      <c r="E67" s="1406">
        <f t="shared" si="0"/>
        <v>0</v>
      </c>
    </row>
    <row r="68" spans="1:5" ht="15" customHeight="1" x14ac:dyDescent="0.25">
      <c r="A68" s="1404">
        <f t="shared" si="1"/>
        <v>66</v>
      </c>
      <c r="B68" s="1405" t="s">
        <v>1018</v>
      </c>
      <c r="C68" s="1402">
        <v>0</v>
      </c>
      <c r="D68" s="1402">
        <f>VLOOKUP(B68,[12]BasePrecios!$B:$C,2,)</f>
        <v>2351705.489320653</v>
      </c>
      <c r="E68" s="1406">
        <f t="shared" ref="E68:E88" si="2">C68*D68</f>
        <v>0</v>
      </c>
    </row>
    <row r="69" spans="1:5" ht="15" customHeight="1" x14ac:dyDescent="0.25">
      <c r="A69" s="641">
        <f t="shared" ref="A69:A87" si="3">+A68+1</f>
        <v>67</v>
      </c>
      <c r="B69" s="1405" t="s">
        <v>1019</v>
      </c>
      <c r="C69" s="1402">
        <v>0</v>
      </c>
      <c r="D69" s="1402">
        <f>VLOOKUP(B69,[12]BasePrecios!$B:$C,2,)</f>
        <v>12000</v>
      </c>
      <c r="E69" s="1406">
        <f t="shared" si="2"/>
        <v>0</v>
      </c>
    </row>
    <row r="70" spans="1:5" ht="15" customHeight="1" x14ac:dyDescent="0.25">
      <c r="A70" s="641">
        <f t="shared" si="3"/>
        <v>68</v>
      </c>
      <c r="B70" s="1405" t="s">
        <v>1020</v>
      </c>
      <c r="C70" s="1402">
        <v>0</v>
      </c>
      <c r="D70" s="1402">
        <f>VLOOKUP(B70,[12]BasePrecios!$B:$C,2,)</f>
        <v>12000</v>
      </c>
      <c r="E70" s="1406">
        <f t="shared" si="2"/>
        <v>0</v>
      </c>
    </row>
    <row r="71" spans="1:5" ht="15" customHeight="1" x14ac:dyDescent="0.25">
      <c r="A71" s="641">
        <f t="shared" si="3"/>
        <v>69</v>
      </c>
      <c r="B71" s="1405" t="s">
        <v>1021</v>
      </c>
      <c r="C71" s="1402">
        <v>0</v>
      </c>
      <c r="D71" s="1402">
        <f>VLOOKUP(B71,[12]BasePrecios!$B:$C,2,)</f>
        <v>6000</v>
      </c>
      <c r="E71" s="1406">
        <f t="shared" si="2"/>
        <v>0</v>
      </c>
    </row>
    <row r="72" spans="1:5" ht="15" customHeight="1" x14ac:dyDescent="0.25">
      <c r="A72" s="641">
        <f t="shared" si="3"/>
        <v>70</v>
      </c>
      <c r="B72" s="1405" t="s">
        <v>1022</v>
      </c>
      <c r="C72" s="1402">
        <v>0</v>
      </c>
      <c r="D72" s="1402">
        <f>VLOOKUP(B72,[12]BasePrecios!$B:$C,2,)</f>
        <v>13500</v>
      </c>
      <c r="E72" s="1406">
        <f t="shared" si="2"/>
        <v>0</v>
      </c>
    </row>
    <row r="73" spans="1:5" ht="15" customHeight="1" x14ac:dyDescent="0.25">
      <c r="A73" s="641">
        <f t="shared" si="3"/>
        <v>71</v>
      </c>
      <c r="B73" s="1405" t="s">
        <v>1023</v>
      </c>
      <c r="C73" s="1402">
        <v>0</v>
      </c>
      <c r="D73" s="1402">
        <f>VLOOKUP(B73,[12]BasePrecios!$B:$C,2,)</f>
        <v>15000</v>
      </c>
      <c r="E73" s="1406">
        <f t="shared" si="2"/>
        <v>0</v>
      </c>
    </row>
    <row r="74" spans="1:5" ht="15" customHeight="1" x14ac:dyDescent="0.25">
      <c r="A74" s="641">
        <f t="shared" si="3"/>
        <v>72</v>
      </c>
      <c r="B74" s="1405" t="s">
        <v>1024</v>
      </c>
      <c r="C74" s="1402">
        <v>0</v>
      </c>
      <c r="D74" s="1402">
        <f>VLOOKUP(B74,[12]BasePrecios!$B:$C,2,)</f>
        <v>6000</v>
      </c>
      <c r="E74" s="1406">
        <f t="shared" si="2"/>
        <v>0</v>
      </c>
    </row>
    <row r="75" spans="1:5" ht="15" customHeight="1" x14ac:dyDescent="0.25">
      <c r="A75" s="641">
        <f t="shared" si="3"/>
        <v>73</v>
      </c>
      <c r="B75" s="1405" t="s">
        <v>1025</v>
      </c>
      <c r="C75" s="1402">
        <v>1</v>
      </c>
      <c r="D75" s="1402">
        <f>VLOOKUP(B75,[12]BasePrecios!$B:$C,2,)</f>
        <v>6000</v>
      </c>
      <c r="E75" s="1406">
        <f t="shared" si="2"/>
        <v>6000</v>
      </c>
    </row>
    <row r="76" spans="1:5" ht="15" customHeight="1" x14ac:dyDescent="0.25">
      <c r="A76" s="641">
        <f t="shared" si="3"/>
        <v>74</v>
      </c>
      <c r="B76" s="1405" t="s">
        <v>1026</v>
      </c>
      <c r="C76" s="1402">
        <v>0</v>
      </c>
      <c r="D76" s="1402">
        <f>VLOOKUP(B76,[12]BasePrecios!$B:$C,2,)</f>
        <v>6000</v>
      </c>
      <c r="E76" s="1406">
        <f t="shared" si="2"/>
        <v>0</v>
      </c>
    </row>
    <row r="77" spans="1:5" ht="15" customHeight="1" x14ac:dyDescent="0.25">
      <c r="A77" s="1404">
        <f t="shared" si="3"/>
        <v>75</v>
      </c>
      <c r="B77" s="1405" t="s">
        <v>1027</v>
      </c>
      <c r="C77" s="1402">
        <v>0</v>
      </c>
      <c r="D77" s="1402">
        <f>VLOOKUP(B77,[12]BasePrecios!$B:$C,2,)</f>
        <v>871897.57789075735</v>
      </c>
      <c r="E77" s="1406">
        <f t="shared" si="2"/>
        <v>0</v>
      </c>
    </row>
    <row r="78" spans="1:5" ht="15" customHeight="1" x14ac:dyDescent="0.25">
      <c r="A78" s="1404">
        <f t="shared" si="3"/>
        <v>76</v>
      </c>
      <c r="B78" s="1405" t="s">
        <v>1028</v>
      </c>
      <c r="C78" s="1402">
        <v>1</v>
      </c>
      <c r="D78" s="1402">
        <f>VLOOKUP(B78,[12]BasePrecios!$B:$C,2,)</f>
        <v>2032</v>
      </c>
      <c r="E78" s="1406">
        <f t="shared" si="2"/>
        <v>2032</v>
      </c>
    </row>
    <row r="79" spans="1:5" ht="15" customHeight="1" x14ac:dyDescent="0.25">
      <c r="A79" s="1404">
        <f t="shared" si="3"/>
        <v>77</v>
      </c>
      <c r="B79" s="1405" t="s">
        <v>1029</v>
      </c>
      <c r="C79" s="1402">
        <v>0</v>
      </c>
      <c r="D79" s="1402">
        <f>VLOOKUP(B79,[12]BasePrecios!$B:$C,2,)</f>
        <v>262883.69182635902</v>
      </c>
      <c r="E79" s="1406">
        <f t="shared" si="2"/>
        <v>0</v>
      </c>
    </row>
    <row r="80" spans="1:5" ht="15" customHeight="1" x14ac:dyDescent="0.25">
      <c r="A80" s="1404">
        <f t="shared" si="3"/>
        <v>78</v>
      </c>
      <c r="B80" s="1405" t="s">
        <v>1030</v>
      </c>
      <c r="C80" s="1402">
        <v>0</v>
      </c>
      <c r="D80" s="1402">
        <f>VLOOKUP(B80,[12]BasePrecios!$B:$C,2,)</f>
        <v>262883.69182635902</v>
      </c>
      <c r="E80" s="1406">
        <f t="shared" si="2"/>
        <v>0</v>
      </c>
    </row>
    <row r="81" spans="1:6" ht="15" customHeight="1" x14ac:dyDescent="0.25">
      <c r="A81" s="1404">
        <f t="shared" si="3"/>
        <v>79</v>
      </c>
      <c r="B81" s="1405" t="s">
        <v>1031</v>
      </c>
      <c r="C81" s="1402">
        <v>3</v>
      </c>
      <c r="D81" s="1402">
        <f>VLOOKUP(B81,[12]BasePrecios!$B:$C,2,)</f>
        <v>10962.693156923993</v>
      </c>
      <c r="E81" s="1406">
        <f t="shared" si="2"/>
        <v>32888.079470771976</v>
      </c>
    </row>
    <row r="82" spans="1:6" ht="15" customHeight="1" x14ac:dyDescent="0.25">
      <c r="A82" s="1404">
        <f t="shared" si="3"/>
        <v>80</v>
      </c>
      <c r="B82" s="1405" t="s">
        <v>1032</v>
      </c>
      <c r="C82" s="1402">
        <v>3</v>
      </c>
      <c r="D82" s="1402">
        <f>VLOOKUP(B82,[12]BasePrecios!$B:$C,2,)</f>
        <v>11131.481325772389</v>
      </c>
      <c r="E82" s="1406">
        <f t="shared" si="2"/>
        <v>33394.443977317169</v>
      </c>
    </row>
    <row r="83" spans="1:6" ht="15" customHeight="1" x14ac:dyDescent="0.25">
      <c r="A83" s="1404">
        <f t="shared" si="3"/>
        <v>81</v>
      </c>
      <c r="B83" s="1405" t="s">
        <v>1033</v>
      </c>
      <c r="C83" s="1402">
        <v>74</v>
      </c>
      <c r="D83" s="1402">
        <f>VLOOKUP(B83,[12]BasePrecios!$B:$C,2,)</f>
        <v>17092.296507490959</v>
      </c>
      <c r="E83" s="1406">
        <f t="shared" si="2"/>
        <v>1264829.941554331</v>
      </c>
    </row>
    <row r="84" spans="1:6" ht="15" customHeight="1" x14ac:dyDescent="0.25">
      <c r="A84" s="1404">
        <f t="shared" si="3"/>
        <v>82</v>
      </c>
      <c r="B84" s="1405" t="s">
        <v>1034</v>
      </c>
      <c r="C84" s="1402">
        <v>0</v>
      </c>
      <c r="D84" s="1402">
        <f>VLOOKUP(B84,[12]BasePrecios!$B:$C,2,)</f>
        <v>14360.571063796157</v>
      </c>
      <c r="E84" s="1406">
        <f t="shared" si="2"/>
        <v>0</v>
      </c>
    </row>
    <row r="85" spans="1:6" ht="15" customHeight="1" x14ac:dyDescent="0.25">
      <c r="A85" s="1404">
        <f t="shared" si="3"/>
        <v>83</v>
      </c>
      <c r="B85" s="1405" t="s">
        <v>1035</v>
      </c>
      <c r="C85" s="1402">
        <v>0</v>
      </c>
      <c r="D85" s="1402">
        <f>VLOOKUP(B85,[12]BasePrecios!$B:$C,2,)</f>
        <v>2351705.489320653</v>
      </c>
      <c r="E85" s="1406">
        <f t="shared" si="2"/>
        <v>0</v>
      </c>
    </row>
    <row r="86" spans="1:6" ht="15" customHeight="1" x14ac:dyDescent="0.25">
      <c r="A86" s="1404">
        <f t="shared" si="3"/>
        <v>84</v>
      </c>
      <c r="B86" s="1405" t="s">
        <v>1036</v>
      </c>
      <c r="C86" s="1402">
        <v>0</v>
      </c>
      <c r="D86" s="1402">
        <f>VLOOKUP(B86,[12]BasePrecios!$B:$C,2,)</f>
        <v>20948.544192412985</v>
      </c>
      <c r="E86" s="1406">
        <f t="shared" si="2"/>
        <v>0</v>
      </c>
    </row>
    <row r="87" spans="1:6" ht="15" customHeight="1" x14ac:dyDescent="0.25">
      <c r="A87" s="1404">
        <f t="shared" si="3"/>
        <v>85</v>
      </c>
      <c r="B87" s="1405" t="s">
        <v>1037</v>
      </c>
      <c r="C87" s="1402">
        <v>0</v>
      </c>
      <c r="D87" s="1402">
        <f>VLOOKUP(B87,[12]BasePrecios!$B:$C,2,)</f>
        <v>17092.296507490959</v>
      </c>
      <c r="E87" s="1406">
        <f t="shared" si="2"/>
        <v>0</v>
      </c>
    </row>
    <row r="88" spans="1:6" ht="15" customHeight="1" x14ac:dyDescent="0.25">
      <c r="A88" s="641">
        <v>86</v>
      </c>
      <c r="B88" s="1408" t="s">
        <v>1038</v>
      </c>
      <c r="C88" s="1402">
        <v>3</v>
      </c>
      <c r="D88" s="1402">
        <f>VLOOKUP(B88,[12]BasePrecios!$B:$C,2,)</f>
        <v>0</v>
      </c>
      <c r="E88" s="1406">
        <f t="shared" si="2"/>
        <v>0</v>
      </c>
    </row>
    <row r="89" spans="1:6" ht="15" customHeight="1" x14ac:dyDescent="0.25">
      <c r="A89" s="1409"/>
      <c r="B89" s="1408"/>
      <c r="C89" s="1410">
        <f>SUM(C3:C88)</f>
        <v>503</v>
      </c>
      <c r="D89" s="1411"/>
      <c r="E89" s="1412"/>
      <c r="F89" s="1395">
        <f>+'[13]LL. SANCHEZ 230'!$C$41</f>
        <v>422</v>
      </c>
    </row>
    <row r="90" spans="1:6" ht="15" customHeight="1" x14ac:dyDescent="0.25">
      <c r="A90" s="658"/>
      <c r="B90" s="1413" t="s">
        <v>563</v>
      </c>
      <c r="C90" s="1414"/>
      <c r="D90" s="1415"/>
      <c r="E90" s="1416">
        <f>SUM(E3:E88)</f>
        <v>47038433.129375331</v>
      </c>
    </row>
    <row r="91" spans="1:6" ht="26.25" thickBot="1" x14ac:dyDescent="0.3">
      <c r="A91" s="663"/>
      <c r="B91" s="1417" t="s">
        <v>564</v>
      </c>
      <c r="C91" s="1418"/>
      <c r="D91" s="1419"/>
      <c r="E91" s="1420">
        <f>+E90-SUM(E3:E15)-SUM(E56:E68)-SUM(E77:E87)</f>
        <v>8289083.1307507204</v>
      </c>
    </row>
    <row r="92" spans="1:6" ht="63.75" x14ac:dyDescent="0.25">
      <c r="A92" s="668"/>
      <c r="B92" s="1421"/>
      <c r="C92" s="1422"/>
      <c r="D92" s="1423" t="s">
        <v>565</v>
      </c>
      <c r="E92" s="1403"/>
    </row>
    <row r="93" spans="1:6" ht="15" customHeight="1" x14ac:dyDescent="0.25">
      <c r="A93" s="673">
        <v>87</v>
      </c>
      <c r="B93" s="1424" t="s">
        <v>566</v>
      </c>
      <c r="C93" s="1425" t="s">
        <v>567</v>
      </c>
      <c r="D93" s="1426">
        <v>5</v>
      </c>
      <c r="E93" s="1427">
        <f>$E$91*D93/100</f>
        <v>414454.15653753601</v>
      </c>
    </row>
    <row r="94" spans="1:6" ht="15" customHeight="1" x14ac:dyDescent="0.25">
      <c r="A94" s="641">
        <f>+A93+1</f>
        <v>88</v>
      </c>
      <c r="B94" s="1424" t="s">
        <v>568</v>
      </c>
      <c r="C94" s="1425" t="s">
        <v>567</v>
      </c>
      <c r="D94" s="1426">
        <v>12</v>
      </c>
      <c r="E94" s="1427">
        <f>$E$91*D94/100</f>
        <v>994689.97569008649</v>
      </c>
    </row>
    <row r="95" spans="1:6" ht="15" customHeight="1" x14ac:dyDescent="0.25">
      <c r="A95" s="641">
        <f>+A94+1</f>
        <v>89</v>
      </c>
      <c r="B95" s="1424" t="s">
        <v>569</v>
      </c>
      <c r="C95" s="1425" t="s">
        <v>567</v>
      </c>
      <c r="D95" s="1426">
        <v>50</v>
      </c>
      <c r="E95" s="1427">
        <f>E91*D95/100</f>
        <v>4144541.5653753602</v>
      </c>
    </row>
    <row r="96" spans="1:6" ht="15" customHeight="1" x14ac:dyDescent="0.25">
      <c r="A96" s="641">
        <f>+A95+1</f>
        <v>90</v>
      </c>
      <c r="B96" s="1424" t="s">
        <v>570</v>
      </c>
      <c r="C96" s="1425" t="s">
        <v>567</v>
      </c>
      <c r="D96" s="1426">
        <v>70</v>
      </c>
      <c r="E96" s="1427">
        <f>E91*D96/100</f>
        <v>5802358.1915255049</v>
      </c>
    </row>
    <row r="97" spans="1:5" x14ac:dyDescent="0.25">
      <c r="A97" s="641">
        <f>+A96+1</f>
        <v>91</v>
      </c>
      <c r="B97" s="1424" t="s">
        <v>571</v>
      </c>
      <c r="C97" s="1425" t="s">
        <v>567</v>
      </c>
      <c r="D97" s="1426">
        <v>15</v>
      </c>
      <c r="E97" s="1427">
        <f>E91*D97/100</f>
        <v>1243362.4696126082</v>
      </c>
    </row>
    <row r="98" spans="1:5" x14ac:dyDescent="0.25">
      <c r="A98" s="641">
        <f>+A97+1</f>
        <v>92</v>
      </c>
      <c r="B98" s="1424" t="s">
        <v>572</v>
      </c>
      <c r="C98" s="1425" t="s">
        <v>567</v>
      </c>
      <c r="D98" s="1426">
        <v>25</v>
      </c>
      <c r="E98" s="1427">
        <f>E91*D98/100</f>
        <v>2072270.7826876801</v>
      </c>
    </row>
    <row r="99" spans="1:5" x14ac:dyDescent="0.25">
      <c r="A99" s="673"/>
      <c r="B99" s="1424"/>
      <c r="C99" s="1425"/>
      <c r="D99" s="1405"/>
      <c r="E99" s="1428"/>
    </row>
    <row r="100" spans="1:5" ht="15.75" thickBot="1" x14ac:dyDescent="0.3">
      <c r="A100" s="663"/>
      <c r="B100" s="1429" t="s">
        <v>573</v>
      </c>
      <c r="C100" s="1430"/>
      <c r="D100" s="1431"/>
      <c r="E100" s="1420">
        <f>+E90+SUM(E93:E98)</f>
        <v>61710110.270804107</v>
      </c>
    </row>
    <row r="101" spans="1:5" ht="25.5" x14ac:dyDescent="0.25">
      <c r="A101" s="668"/>
      <c r="B101" s="1421"/>
      <c r="C101" s="1432"/>
      <c r="D101" s="1433" t="s">
        <v>574</v>
      </c>
      <c r="E101" s="1403"/>
    </row>
    <row r="102" spans="1:5" x14ac:dyDescent="0.25">
      <c r="A102" s="673">
        <f>+A98+1</f>
        <v>93</v>
      </c>
      <c r="B102" s="1424" t="s">
        <v>575</v>
      </c>
      <c r="C102" s="1425" t="s">
        <v>567</v>
      </c>
      <c r="D102" s="1426">
        <v>15</v>
      </c>
      <c r="E102" s="1428">
        <f>E100*D102/100</f>
        <v>9256516.5406206157</v>
      </c>
    </row>
    <row r="103" spans="1:5" x14ac:dyDescent="0.25">
      <c r="A103" s="641">
        <f>+A102+1</f>
        <v>94</v>
      </c>
      <c r="B103" s="1424" t="s">
        <v>576</v>
      </c>
      <c r="C103" s="1425" t="s">
        <v>567</v>
      </c>
      <c r="D103" s="1434">
        <v>25</v>
      </c>
      <c r="E103" s="1428">
        <f>E100*D103/100</f>
        <v>15427527.567701027</v>
      </c>
    </row>
    <row r="104" spans="1:5" x14ac:dyDescent="0.25">
      <c r="A104" s="673"/>
      <c r="B104" s="1424"/>
      <c r="C104" s="1435"/>
      <c r="D104" s="1405"/>
      <c r="E104" s="1428"/>
    </row>
    <row r="105" spans="1:5" ht="15.75" thickBot="1" x14ac:dyDescent="0.3">
      <c r="A105" s="663"/>
      <c r="B105" s="1429" t="s">
        <v>578</v>
      </c>
      <c r="C105" s="1430"/>
      <c r="D105" s="1431"/>
      <c r="E105" s="1420">
        <f>SUM(E100,E102,E103)</f>
        <v>86394154.379125744</v>
      </c>
    </row>
    <row r="106" spans="1:5" ht="25.5" x14ac:dyDescent="0.25">
      <c r="A106" s="668"/>
      <c r="B106" s="1421"/>
      <c r="C106" s="1436"/>
      <c r="D106" s="1433" t="s">
        <v>580</v>
      </c>
      <c r="E106" s="1437"/>
    </row>
    <row r="107" spans="1:5" x14ac:dyDescent="0.25">
      <c r="A107" s="673">
        <f>A103+1</f>
        <v>95</v>
      </c>
      <c r="B107" s="1424" t="s">
        <v>582</v>
      </c>
      <c r="C107" s="1435"/>
      <c r="D107" s="1438">
        <v>5</v>
      </c>
      <c r="E107" s="1428">
        <f t="shared" ref="E107:E113" si="4">$E$105*D107/100</f>
        <v>4319707.718956287</v>
      </c>
    </row>
    <row r="108" spans="1:5" x14ac:dyDescent="0.25">
      <c r="A108" s="641">
        <f t="shared" ref="A108:A114" si="5">+A107+1</f>
        <v>96</v>
      </c>
      <c r="B108" s="1439" t="s">
        <v>583</v>
      </c>
      <c r="C108" s="1435"/>
      <c r="D108" s="1438">
        <v>3</v>
      </c>
      <c r="E108" s="1428">
        <f t="shared" si="4"/>
        <v>2591824.6313737724</v>
      </c>
    </row>
    <row r="109" spans="1:5" x14ac:dyDescent="0.25">
      <c r="A109" s="641">
        <f t="shared" si="5"/>
        <v>97</v>
      </c>
      <c r="B109" s="1424" t="s">
        <v>585</v>
      </c>
      <c r="C109" s="1435"/>
      <c r="D109" s="1438">
        <v>4</v>
      </c>
      <c r="E109" s="1428">
        <f t="shared" si="4"/>
        <v>3455766.1751650297</v>
      </c>
    </row>
    <row r="110" spans="1:5" x14ac:dyDescent="0.25">
      <c r="A110" s="641">
        <f t="shared" si="5"/>
        <v>98</v>
      </c>
      <c r="B110" s="1439" t="s">
        <v>299</v>
      </c>
      <c r="C110" s="1435"/>
      <c r="D110" s="1438">
        <v>4</v>
      </c>
      <c r="E110" s="1428">
        <f t="shared" si="4"/>
        <v>3455766.1751650297</v>
      </c>
    </row>
    <row r="111" spans="1:5" x14ac:dyDescent="0.25">
      <c r="A111" s="641">
        <f t="shared" si="5"/>
        <v>99</v>
      </c>
      <c r="B111" s="1424" t="s">
        <v>586</v>
      </c>
      <c r="C111" s="1435"/>
      <c r="D111" s="1438">
        <v>5</v>
      </c>
      <c r="E111" s="1428">
        <f t="shared" si="4"/>
        <v>4319707.718956287</v>
      </c>
    </row>
    <row r="112" spans="1:5" x14ac:dyDescent="0.25">
      <c r="A112" s="641">
        <f t="shared" si="5"/>
        <v>100</v>
      </c>
      <c r="B112" s="1439" t="s">
        <v>588</v>
      </c>
      <c r="C112" s="1435"/>
      <c r="D112" s="1438">
        <v>6</v>
      </c>
      <c r="E112" s="1428">
        <f t="shared" si="4"/>
        <v>5183649.2627475448</v>
      </c>
    </row>
    <row r="113" spans="1:5" x14ac:dyDescent="0.25">
      <c r="A113" s="641">
        <f t="shared" si="5"/>
        <v>101</v>
      </c>
      <c r="B113" s="1424" t="s">
        <v>589</v>
      </c>
      <c r="C113" s="1435"/>
      <c r="D113" s="1438">
        <v>0.19</v>
      </c>
      <c r="E113" s="1428">
        <f t="shared" si="4"/>
        <v>164148.89332033892</v>
      </c>
    </row>
    <row r="114" spans="1:5" ht="15.75" thickBot="1" x14ac:dyDescent="0.3">
      <c r="A114" s="690">
        <f t="shared" si="5"/>
        <v>102</v>
      </c>
      <c r="B114" s="1440" t="s">
        <v>590</v>
      </c>
      <c r="C114" s="1441" t="s">
        <v>591</v>
      </c>
      <c r="D114" s="1442">
        <v>0</v>
      </c>
      <c r="E114" s="1443">
        <v>149591</v>
      </c>
    </row>
    <row r="115" spans="1:5" ht="15.75" thickBot="1" x14ac:dyDescent="0.3">
      <c r="A115" s="663"/>
      <c r="B115" s="1444" t="s">
        <v>592</v>
      </c>
      <c r="C115" s="1430"/>
      <c r="D115" s="1431"/>
      <c r="E115" s="1445">
        <f>SUM(E105,E107:E114)</f>
        <v>110034315.95481004</v>
      </c>
    </row>
    <row r="116" spans="1:5" x14ac:dyDescent="0.25">
      <c r="A116" s="697"/>
      <c r="B116" s="1446"/>
      <c r="C116" s="1446"/>
      <c r="D116" s="1447"/>
      <c r="E116" s="1446" t="s">
        <v>10</v>
      </c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scale="65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81"/>
  <sheetViews>
    <sheetView topLeftCell="A57" zoomScale="85" zoomScaleNormal="85" workbookViewId="0">
      <selection activeCell="E67" sqref="E67"/>
    </sheetView>
  </sheetViews>
  <sheetFormatPr baseColWidth="10" defaultColWidth="11.42578125" defaultRowHeight="15" x14ac:dyDescent="0.25"/>
  <cols>
    <col min="1" max="1" width="7.28515625" style="701" customWidth="1"/>
    <col min="2" max="2" width="67.28515625" style="630" customWidth="1"/>
    <col min="3" max="3" width="11.42578125" style="630"/>
    <col min="4" max="4" width="35" style="702" customWidth="1"/>
    <col min="5" max="5" width="14.7109375" style="630" customWidth="1"/>
    <col min="6" max="7" width="11.42578125" style="630"/>
    <col min="8" max="8" width="14.28515625" style="630" bestFit="1" customWidth="1"/>
    <col min="9" max="16384" width="11.42578125" style="630"/>
  </cols>
  <sheetData>
    <row r="1" spans="1:7" ht="30" customHeight="1" thickBot="1" x14ac:dyDescent="0.3">
      <c r="A1" s="1816" t="s">
        <v>520</v>
      </c>
      <c r="B1" s="1817"/>
      <c r="C1" s="1817"/>
      <c r="D1" s="1817"/>
      <c r="E1" s="1818"/>
    </row>
    <row r="2" spans="1:7" ht="30" customHeight="1" thickBot="1" x14ac:dyDescent="0.3">
      <c r="A2" s="631" t="s">
        <v>521</v>
      </c>
      <c r="B2" s="632" t="s">
        <v>522</v>
      </c>
      <c r="C2" s="633" t="s">
        <v>66</v>
      </c>
      <c r="D2" s="634" t="s">
        <v>523</v>
      </c>
      <c r="E2" s="635" t="s">
        <v>524</v>
      </c>
    </row>
    <row r="3" spans="1:7" ht="15" customHeight="1" x14ac:dyDescent="0.25">
      <c r="A3" s="636">
        <v>1</v>
      </c>
      <c r="B3" s="637" t="s">
        <v>525</v>
      </c>
      <c r="C3" s="638">
        <v>0</v>
      </c>
      <c r="D3" s="639">
        <v>65250</v>
      </c>
      <c r="E3" s="640">
        <f>C3*D3</f>
        <v>0</v>
      </c>
    </row>
    <row r="4" spans="1:7" ht="15" customHeight="1" x14ac:dyDescent="0.25">
      <c r="A4" s="641">
        <f>+A3+1</f>
        <v>2</v>
      </c>
      <c r="B4" s="642" t="s">
        <v>526</v>
      </c>
      <c r="C4" s="638">
        <v>0</v>
      </c>
      <c r="D4" s="643">
        <v>74065.080135988333</v>
      </c>
      <c r="E4" s="640"/>
    </row>
    <row r="5" spans="1:7" ht="15" customHeight="1" x14ac:dyDescent="0.25">
      <c r="A5" s="641">
        <f t="shared" ref="A5:A40" si="0">+A4+1</f>
        <v>3</v>
      </c>
      <c r="B5" s="644" t="s">
        <v>527</v>
      </c>
      <c r="C5" s="638">
        <v>0</v>
      </c>
      <c r="D5" s="643">
        <v>19871.249588590235</v>
      </c>
      <c r="E5" s="645">
        <f t="shared" ref="E5:E39" si="1">C5*D5</f>
        <v>0</v>
      </c>
      <c r="G5" s="646"/>
    </row>
    <row r="6" spans="1:7" ht="15" customHeight="1" x14ac:dyDescent="0.25">
      <c r="A6" s="641">
        <f t="shared" si="0"/>
        <v>4</v>
      </c>
      <c r="B6" s="642" t="s">
        <v>528</v>
      </c>
      <c r="C6" s="647">
        <v>0</v>
      </c>
      <c r="D6" s="643">
        <v>17539.134129330989</v>
      </c>
      <c r="E6" s="645">
        <f t="shared" si="1"/>
        <v>0</v>
      </c>
      <c r="G6" s="646"/>
    </row>
    <row r="7" spans="1:7" ht="15" customHeight="1" x14ac:dyDescent="0.25">
      <c r="A7" s="641">
        <f t="shared" si="0"/>
        <v>5</v>
      </c>
      <c r="B7" s="642" t="s">
        <v>529</v>
      </c>
      <c r="C7" s="638">
        <v>0</v>
      </c>
      <c r="D7" s="643">
        <v>10356</v>
      </c>
      <c r="E7" s="645">
        <f t="shared" si="1"/>
        <v>0</v>
      </c>
      <c r="G7" s="646"/>
    </row>
    <row r="8" spans="1:7" ht="15" customHeight="1" x14ac:dyDescent="0.25">
      <c r="A8" s="641">
        <f t="shared" si="0"/>
        <v>6</v>
      </c>
      <c r="B8" s="642" t="s">
        <v>530</v>
      </c>
      <c r="C8" s="638">
        <v>0</v>
      </c>
      <c r="D8" s="643">
        <v>11733</v>
      </c>
      <c r="E8" s="645">
        <f t="shared" si="1"/>
        <v>0</v>
      </c>
    </row>
    <row r="9" spans="1:7" ht="15" customHeight="1" x14ac:dyDescent="0.25">
      <c r="A9" s="641">
        <f t="shared" si="0"/>
        <v>7</v>
      </c>
      <c r="B9" s="642" t="s">
        <v>531</v>
      </c>
      <c r="C9" s="638">
        <v>5</v>
      </c>
      <c r="D9" s="643">
        <v>162000</v>
      </c>
      <c r="E9" s="645">
        <f t="shared" si="1"/>
        <v>810000</v>
      </c>
    </row>
    <row r="10" spans="1:7" ht="15" customHeight="1" x14ac:dyDescent="0.25">
      <c r="A10" s="641">
        <f t="shared" si="0"/>
        <v>8</v>
      </c>
      <c r="B10" s="642" t="s">
        <v>532</v>
      </c>
      <c r="C10" s="638">
        <v>0</v>
      </c>
      <c r="D10" s="643">
        <v>164000</v>
      </c>
      <c r="E10" s="645">
        <f t="shared" si="1"/>
        <v>0</v>
      </c>
    </row>
    <row r="11" spans="1:7" ht="15" customHeight="1" x14ac:dyDescent="0.25">
      <c r="A11" s="641">
        <f t="shared" si="0"/>
        <v>9</v>
      </c>
      <c r="B11" s="642" t="s">
        <v>533</v>
      </c>
      <c r="C11" s="638">
        <v>0</v>
      </c>
      <c r="D11" s="643">
        <v>50000</v>
      </c>
      <c r="E11" s="645">
        <f t="shared" si="1"/>
        <v>0</v>
      </c>
    </row>
    <row r="12" spans="1:7" ht="15" customHeight="1" x14ac:dyDescent="0.25">
      <c r="A12" s="641">
        <f t="shared" si="0"/>
        <v>10</v>
      </c>
      <c r="B12" s="642" t="s">
        <v>534</v>
      </c>
      <c r="C12" s="638">
        <v>0</v>
      </c>
      <c r="D12" s="643">
        <v>24000</v>
      </c>
      <c r="E12" s="645">
        <f t="shared" si="1"/>
        <v>0</v>
      </c>
      <c r="G12" s="646"/>
    </row>
    <row r="13" spans="1:7" ht="15" customHeight="1" x14ac:dyDescent="0.25">
      <c r="A13" s="641">
        <f t="shared" si="0"/>
        <v>11</v>
      </c>
      <c r="B13" s="642" t="s">
        <v>535</v>
      </c>
      <c r="C13" s="638">
        <v>3</v>
      </c>
      <c r="D13" s="643">
        <v>20760</v>
      </c>
      <c r="E13" s="645">
        <f t="shared" si="1"/>
        <v>62280</v>
      </c>
      <c r="G13" s="646"/>
    </row>
    <row r="14" spans="1:7" ht="15" customHeight="1" x14ac:dyDescent="0.25">
      <c r="A14" s="641">
        <f t="shared" si="0"/>
        <v>12</v>
      </c>
      <c r="B14" s="642" t="s">
        <v>536</v>
      </c>
      <c r="C14" s="638">
        <f>+C9*2</f>
        <v>10</v>
      </c>
      <c r="D14" s="643">
        <v>16614</v>
      </c>
      <c r="E14" s="645">
        <f t="shared" si="1"/>
        <v>166140</v>
      </c>
      <c r="G14" s="646"/>
    </row>
    <row r="15" spans="1:7" ht="15" customHeight="1" x14ac:dyDescent="0.25">
      <c r="A15" s="641">
        <f t="shared" si="0"/>
        <v>13</v>
      </c>
      <c r="B15" s="642" t="s">
        <v>537</v>
      </c>
      <c r="C15" s="638">
        <v>9</v>
      </c>
      <c r="D15" s="643">
        <v>7000</v>
      </c>
      <c r="E15" s="645">
        <f t="shared" si="1"/>
        <v>63000</v>
      </c>
      <c r="G15" s="646"/>
    </row>
    <row r="16" spans="1:7" ht="15" customHeight="1" x14ac:dyDescent="0.25">
      <c r="A16" s="641">
        <f t="shared" si="0"/>
        <v>14</v>
      </c>
      <c r="B16" s="642" t="s">
        <v>538</v>
      </c>
      <c r="C16" s="638">
        <v>0</v>
      </c>
      <c r="D16" s="643">
        <v>4400</v>
      </c>
      <c r="E16" s="645">
        <f t="shared" si="1"/>
        <v>0</v>
      </c>
      <c r="G16" s="646"/>
    </row>
    <row r="17" spans="1:7" ht="15" customHeight="1" x14ac:dyDescent="0.25">
      <c r="A17" s="641">
        <f t="shared" si="0"/>
        <v>15</v>
      </c>
      <c r="B17" s="648" t="s">
        <v>539</v>
      </c>
      <c r="C17" s="638">
        <f>+C9*6</f>
        <v>30</v>
      </c>
      <c r="D17" s="643">
        <v>19000</v>
      </c>
      <c r="E17" s="645">
        <f t="shared" si="1"/>
        <v>570000</v>
      </c>
      <c r="G17" s="646"/>
    </row>
    <row r="18" spans="1:7" ht="15" customHeight="1" x14ac:dyDescent="0.25">
      <c r="A18" s="641">
        <f t="shared" si="0"/>
        <v>16</v>
      </c>
      <c r="B18" s="648" t="s">
        <v>540</v>
      </c>
      <c r="C18" s="638">
        <v>0</v>
      </c>
      <c r="D18" s="643">
        <v>13609.78260869565</v>
      </c>
      <c r="E18" s="645">
        <f t="shared" si="1"/>
        <v>0</v>
      </c>
      <c r="G18" s="646"/>
    </row>
    <row r="19" spans="1:7" ht="15" customHeight="1" x14ac:dyDescent="0.25">
      <c r="A19" s="641">
        <f t="shared" si="0"/>
        <v>17</v>
      </c>
      <c r="B19" s="648" t="s">
        <v>541</v>
      </c>
      <c r="C19" s="638">
        <v>21</v>
      </c>
      <c r="D19" s="643">
        <v>17000</v>
      </c>
      <c r="E19" s="645">
        <f t="shared" si="1"/>
        <v>357000</v>
      </c>
      <c r="G19" s="646"/>
    </row>
    <row r="20" spans="1:7" ht="15" customHeight="1" x14ac:dyDescent="0.25">
      <c r="A20" s="641">
        <f t="shared" si="0"/>
        <v>18</v>
      </c>
      <c r="B20" s="648" t="s">
        <v>542</v>
      </c>
      <c r="C20" s="638">
        <v>0</v>
      </c>
      <c r="D20" s="643">
        <v>11600</v>
      </c>
      <c r="E20" s="645">
        <f t="shared" si="1"/>
        <v>0</v>
      </c>
      <c r="G20" s="646"/>
    </row>
    <row r="21" spans="1:7" ht="15" customHeight="1" x14ac:dyDescent="0.25">
      <c r="A21" s="641">
        <f t="shared" si="0"/>
        <v>19</v>
      </c>
      <c r="B21" s="642" t="s">
        <v>543</v>
      </c>
      <c r="C21" s="638">
        <v>0</v>
      </c>
      <c r="D21" s="643">
        <v>35869.565217391311</v>
      </c>
      <c r="E21" s="645">
        <f t="shared" si="1"/>
        <v>0</v>
      </c>
      <c r="G21" s="646"/>
    </row>
    <row r="22" spans="1:7" ht="15" customHeight="1" x14ac:dyDescent="0.25">
      <c r="A22" s="641">
        <f t="shared" si="0"/>
        <v>20</v>
      </c>
      <c r="B22" s="642" t="s">
        <v>544</v>
      </c>
      <c r="C22" s="638">
        <v>0</v>
      </c>
      <c r="D22" s="643">
        <v>3500000</v>
      </c>
      <c r="E22" s="645">
        <f t="shared" si="1"/>
        <v>0</v>
      </c>
    </row>
    <row r="23" spans="1:7" ht="15" customHeight="1" x14ac:dyDescent="0.25">
      <c r="A23" s="641">
        <f t="shared" si="0"/>
        <v>21</v>
      </c>
      <c r="B23" s="642" t="s">
        <v>545</v>
      </c>
      <c r="C23" s="638">
        <v>0</v>
      </c>
      <c r="D23" s="643">
        <v>3200000</v>
      </c>
      <c r="E23" s="645">
        <f t="shared" si="1"/>
        <v>0</v>
      </c>
    </row>
    <row r="24" spans="1:7" ht="15" customHeight="1" x14ac:dyDescent="0.25">
      <c r="A24" s="641">
        <f t="shared" si="0"/>
        <v>22</v>
      </c>
      <c r="B24" s="642" t="s">
        <v>546</v>
      </c>
      <c r="C24" s="638">
        <v>0</v>
      </c>
      <c r="D24" s="643">
        <v>2000000</v>
      </c>
      <c r="E24" s="645">
        <f t="shared" si="1"/>
        <v>0</v>
      </c>
    </row>
    <row r="25" spans="1:7" ht="15" customHeight="1" x14ac:dyDescent="0.25">
      <c r="A25" s="641">
        <f t="shared" si="0"/>
        <v>23</v>
      </c>
      <c r="B25" s="642" t="s">
        <v>547</v>
      </c>
      <c r="C25" s="638">
        <v>1</v>
      </c>
      <c r="D25" s="643">
        <v>2700000</v>
      </c>
      <c r="E25" s="645">
        <f t="shared" si="1"/>
        <v>2700000</v>
      </c>
      <c r="F25" s="744">
        <f>+E25</f>
        <v>2700000</v>
      </c>
    </row>
    <row r="26" spans="1:7" ht="15" customHeight="1" x14ac:dyDescent="0.25">
      <c r="A26" s="641">
        <f t="shared" si="0"/>
        <v>24</v>
      </c>
      <c r="B26" s="642" t="s">
        <v>548</v>
      </c>
      <c r="C26" s="638">
        <v>2</v>
      </c>
      <c r="D26" s="643">
        <v>2150000</v>
      </c>
      <c r="E26" s="645">
        <f t="shared" si="1"/>
        <v>4300000</v>
      </c>
      <c r="F26" s="744">
        <f>+E26</f>
        <v>4300000</v>
      </c>
    </row>
    <row r="27" spans="1:7" ht="15" customHeight="1" x14ac:dyDescent="0.25">
      <c r="A27" s="641">
        <f t="shared" si="0"/>
        <v>25</v>
      </c>
      <c r="B27" s="642" t="s">
        <v>549</v>
      </c>
      <c r="C27" s="638">
        <v>0</v>
      </c>
      <c r="D27" s="643">
        <v>810000</v>
      </c>
      <c r="E27" s="645">
        <f t="shared" si="1"/>
        <v>0</v>
      </c>
    </row>
    <row r="28" spans="1:7" ht="15" customHeight="1" x14ac:dyDescent="0.25">
      <c r="A28" s="641">
        <f t="shared" si="0"/>
        <v>26</v>
      </c>
      <c r="B28" s="642" t="s">
        <v>550</v>
      </c>
      <c r="C28" s="638">
        <v>0</v>
      </c>
      <c r="D28" s="643">
        <v>160000</v>
      </c>
      <c r="E28" s="645">
        <f t="shared" si="1"/>
        <v>0</v>
      </c>
    </row>
    <row r="29" spans="1:7" ht="15" customHeight="1" x14ac:dyDescent="0.25">
      <c r="A29" s="641">
        <f t="shared" si="0"/>
        <v>27</v>
      </c>
      <c r="B29" s="642" t="s">
        <v>551</v>
      </c>
      <c r="C29" s="638">
        <v>0</v>
      </c>
      <c r="D29" s="643">
        <v>218000</v>
      </c>
      <c r="E29" s="645">
        <f t="shared" si="1"/>
        <v>0</v>
      </c>
    </row>
    <row r="30" spans="1:7" ht="15" customHeight="1" x14ac:dyDescent="0.25">
      <c r="A30" s="641">
        <f t="shared" si="0"/>
        <v>28</v>
      </c>
      <c r="B30" s="642" t="s">
        <v>552</v>
      </c>
      <c r="C30" s="638">
        <v>0</v>
      </c>
      <c r="D30" s="643">
        <v>850000</v>
      </c>
      <c r="E30" s="645">
        <f t="shared" si="1"/>
        <v>0</v>
      </c>
    </row>
    <row r="31" spans="1:7" ht="15" customHeight="1" x14ac:dyDescent="0.25">
      <c r="A31" s="641">
        <f t="shared" si="0"/>
        <v>29</v>
      </c>
      <c r="B31" s="642" t="s">
        <v>553</v>
      </c>
      <c r="C31" s="638">
        <v>0</v>
      </c>
      <c r="D31" s="643">
        <v>480000</v>
      </c>
      <c r="E31" s="645"/>
    </row>
    <row r="32" spans="1:7" ht="15" customHeight="1" x14ac:dyDescent="0.25">
      <c r="A32" s="641">
        <f t="shared" si="0"/>
        <v>30</v>
      </c>
      <c r="B32" s="642" t="s">
        <v>554</v>
      </c>
      <c r="C32" s="638"/>
      <c r="D32" s="643">
        <v>300000</v>
      </c>
      <c r="E32" s="645">
        <f t="shared" si="1"/>
        <v>0</v>
      </c>
    </row>
    <row r="33" spans="1:7" ht="15" customHeight="1" x14ac:dyDescent="0.25">
      <c r="A33" s="641">
        <f t="shared" si="0"/>
        <v>31</v>
      </c>
      <c r="B33" s="642" t="s">
        <v>555</v>
      </c>
      <c r="C33" s="638">
        <v>0</v>
      </c>
      <c r="D33" s="643">
        <v>200000</v>
      </c>
      <c r="E33" s="645">
        <f t="shared" si="1"/>
        <v>0</v>
      </c>
    </row>
    <row r="34" spans="1:7" ht="15" customHeight="1" x14ac:dyDescent="0.25">
      <c r="A34" s="641">
        <f t="shared" si="0"/>
        <v>32</v>
      </c>
      <c r="B34" s="642" t="s">
        <v>556</v>
      </c>
      <c r="C34" s="638">
        <v>0</v>
      </c>
      <c r="D34" s="643">
        <v>59800</v>
      </c>
      <c r="E34" s="645">
        <f t="shared" si="1"/>
        <v>0</v>
      </c>
    </row>
    <row r="35" spans="1:7" ht="15" customHeight="1" x14ac:dyDescent="0.25">
      <c r="A35" s="641">
        <f t="shared" si="0"/>
        <v>33</v>
      </c>
      <c r="B35" s="642" t="s">
        <v>557</v>
      </c>
      <c r="C35" s="638">
        <v>0</v>
      </c>
      <c r="D35" s="643">
        <v>7400</v>
      </c>
      <c r="E35" s="645">
        <f t="shared" si="1"/>
        <v>0</v>
      </c>
      <c r="G35" s="646"/>
    </row>
    <row r="36" spans="1:7" ht="15" customHeight="1" x14ac:dyDescent="0.25">
      <c r="A36" s="641">
        <f t="shared" si="0"/>
        <v>34</v>
      </c>
      <c r="B36" s="642" t="s">
        <v>558</v>
      </c>
      <c r="C36" s="638">
        <v>0</v>
      </c>
      <c r="D36" s="643">
        <v>14201.865057597364</v>
      </c>
      <c r="E36" s="645">
        <f t="shared" si="1"/>
        <v>0</v>
      </c>
      <c r="G36" s="646"/>
    </row>
    <row r="37" spans="1:7" ht="15" customHeight="1" x14ac:dyDescent="0.25">
      <c r="A37" s="641">
        <f t="shared" si="0"/>
        <v>35</v>
      </c>
      <c r="B37" s="642" t="s">
        <v>559</v>
      </c>
      <c r="C37" s="638">
        <v>0</v>
      </c>
      <c r="D37" s="643">
        <v>9000</v>
      </c>
      <c r="E37" s="645">
        <f t="shared" si="1"/>
        <v>0</v>
      </c>
      <c r="G37" s="646"/>
    </row>
    <row r="38" spans="1:7" ht="15" customHeight="1" x14ac:dyDescent="0.25">
      <c r="A38" s="641">
        <f t="shared" si="0"/>
        <v>36</v>
      </c>
      <c r="B38" s="642" t="s">
        <v>560</v>
      </c>
      <c r="C38" s="638">
        <v>0</v>
      </c>
      <c r="D38" s="643">
        <v>1468.0412371134018</v>
      </c>
      <c r="E38" s="645">
        <f t="shared" si="1"/>
        <v>0</v>
      </c>
      <c r="G38" s="646"/>
    </row>
    <row r="39" spans="1:7" ht="15" customHeight="1" x14ac:dyDescent="0.25">
      <c r="A39" s="641">
        <f t="shared" si="0"/>
        <v>37</v>
      </c>
      <c r="B39" s="642" t="s">
        <v>561</v>
      </c>
      <c r="C39" s="638">
        <v>0</v>
      </c>
      <c r="D39" s="643">
        <v>6775.3623188405809</v>
      </c>
      <c r="E39" s="645">
        <f t="shared" si="1"/>
        <v>0</v>
      </c>
      <c r="G39" s="646"/>
    </row>
    <row r="40" spans="1:7" ht="15" customHeight="1" x14ac:dyDescent="0.25">
      <c r="A40" s="649">
        <f t="shared" si="0"/>
        <v>38</v>
      </c>
      <c r="B40" s="650" t="s">
        <v>562</v>
      </c>
      <c r="C40" s="651">
        <v>0</v>
      </c>
      <c r="D40" s="652">
        <v>6918.4782608695632</v>
      </c>
      <c r="E40" s="653">
        <f>C40*D40</f>
        <v>0</v>
      </c>
      <c r="G40" s="646"/>
    </row>
    <row r="41" spans="1:7" ht="15" customHeight="1" x14ac:dyDescent="0.25">
      <c r="A41" s="654"/>
      <c r="B41" s="655"/>
      <c r="C41" s="656"/>
      <c r="D41" s="657"/>
      <c r="E41" s="640"/>
    </row>
    <row r="42" spans="1:7" ht="15" customHeight="1" x14ac:dyDescent="0.25">
      <c r="A42" s="658"/>
      <c r="B42" s="659" t="s">
        <v>563</v>
      </c>
      <c r="C42" s="660"/>
      <c r="D42" s="661"/>
      <c r="E42" s="662">
        <f>SUM(E3:E40)</f>
        <v>9028420</v>
      </c>
    </row>
    <row r="43" spans="1:7" ht="15" customHeight="1" thickBot="1" x14ac:dyDescent="0.3">
      <c r="A43" s="663"/>
      <c r="B43" s="664" t="s">
        <v>564</v>
      </c>
      <c r="C43" s="665"/>
      <c r="D43" s="666"/>
      <c r="E43" s="667">
        <f>+E42-SUM(E22:E33)</f>
        <v>2028420</v>
      </c>
    </row>
    <row r="44" spans="1:7" ht="30" customHeight="1" x14ac:dyDescent="0.25">
      <c r="A44" s="668"/>
      <c r="B44" s="669"/>
      <c r="C44" s="670"/>
      <c r="D44" s="671" t="s">
        <v>565</v>
      </c>
      <c r="E44" s="672"/>
    </row>
    <row r="45" spans="1:7" ht="15" customHeight="1" x14ac:dyDescent="0.25">
      <c r="A45" s="673">
        <f>+A40+1</f>
        <v>39</v>
      </c>
      <c r="B45" s="674" t="s">
        <v>566</v>
      </c>
      <c r="C45" s="675" t="s">
        <v>567</v>
      </c>
      <c r="D45" s="676">
        <v>5</v>
      </c>
      <c r="E45" s="677">
        <f>$E$43*D45/100</f>
        <v>101421</v>
      </c>
    </row>
    <row r="46" spans="1:7" ht="15" customHeight="1" x14ac:dyDescent="0.25">
      <c r="A46" s="641">
        <f>+A45+1</f>
        <v>40</v>
      </c>
      <c r="B46" s="674" t="s">
        <v>568</v>
      </c>
      <c r="C46" s="675" t="s">
        <v>567</v>
      </c>
      <c r="D46" s="676">
        <v>12</v>
      </c>
      <c r="E46" s="677">
        <f>$E$43*D46/100</f>
        <v>243410.4</v>
      </c>
    </row>
    <row r="47" spans="1:7" ht="15" customHeight="1" x14ac:dyDescent="0.25">
      <c r="A47" s="641">
        <f>+A46+1</f>
        <v>41</v>
      </c>
      <c r="B47" s="674" t="s">
        <v>569</v>
      </c>
      <c r="C47" s="675" t="s">
        <v>567</v>
      </c>
      <c r="D47" s="676">
        <v>50</v>
      </c>
      <c r="E47" s="677">
        <f>E43*D47/100</f>
        <v>1014210</v>
      </c>
    </row>
    <row r="48" spans="1:7" ht="15" customHeight="1" x14ac:dyDescent="0.25">
      <c r="A48" s="641">
        <f>+A47+1</f>
        <v>42</v>
      </c>
      <c r="B48" s="674" t="s">
        <v>570</v>
      </c>
      <c r="C48" s="675" t="s">
        <v>567</v>
      </c>
      <c r="D48" s="676">
        <v>70</v>
      </c>
      <c r="E48" s="677">
        <f>E43*D48/100</f>
        <v>1419894</v>
      </c>
    </row>
    <row r="49" spans="1:10" x14ac:dyDescent="0.25">
      <c r="A49" s="641">
        <f>+A48+1</f>
        <v>43</v>
      </c>
      <c r="B49" s="674" t="s">
        <v>571</v>
      </c>
      <c r="C49" s="675" t="s">
        <v>567</v>
      </c>
      <c r="D49" s="676">
        <v>15</v>
      </c>
      <c r="E49" s="677">
        <f>E43*D49/100</f>
        <v>304263</v>
      </c>
    </row>
    <row r="50" spans="1:10" x14ac:dyDescent="0.25">
      <c r="A50" s="641">
        <f>+A49+1</f>
        <v>44</v>
      </c>
      <c r="B50" s="674" t="s">
        <v>572</v>
      </c>
      <c r="C50" s="675" t="s">
        <v>567</v>
      </c>
      <c r="D50" s="676">
        <v>25</v>
      </c>
      <c r="E50" s="677">
        <f>E43*D50/100</f>
        <v>507105</v>
      </c>
    </row>
    <row r="51" spans="1:10" x14ac:dyDescent="0.25">
      <c r="A51" s="673"/>
      <c r="B51" s="674"/>
      <c r="C51" s="675"/>
      <c r="D51" s="642"/>
      <c r="E51" s="645"/>
    </row>
    <row r="52" spans="1:10" ht="15.75" thickBot="1" x14ac:dyDescent="0.3">
      <c r="A52" s="663"/>
      <c r="B52" s="678" t="s">
        <v>573</v>
      </c>
      <c r="C52" s="679"/>
      <c r="D52" s="680"/>
      <c r="E52" s="667">
        <f>+E42+SUM(E45:E50)</f>
        <v>12618723.4</v>
      </c>
    </row>
    <row r="53" spans="1:10" x14ac:dyDescent="0.25">
      <c r="A53" s="668"/>
      <c r="B53" s="669"/>
      <c r="C53" s="681"/>
      <c r="D53" s="682" t="s">
        <v>574</v>
      </c>
      <c r="E53" s="672"/>
    </row>
    <row r="54" spans="1:10" x14ac:dyDescent="0.25">
      <c r="A54" s="673">
        <f>+A50+1</f>
        <v>45</v>
      </c>
      <c r="B54" s="674" t="s">
        <v>575</v>
      </c>
      <c r="C54" s="675" t="s">
        <v>567</v>
      </c>
      <c r="D54" s="676">
        <v>15</v>
      </c>
      <c r="E54" s="645">
        <f>E52*D54/100</f>
        <v>1892808.51</v>
      </c>
    </row>
    <row r="55" spans="1:10" x14ac:dyDescent="0.25">
      <c r="A55" s="641">
        <f>+A54+1</f>
        <v>46</v>
      </c>
      <c r="B55" s="674" t="s">
        <v>576</v>
      </c>
      <c r="C55" s="675" t="s">
        <v>567</v>
      </c>
      <c r="D55" s="683">
        <v>25</v>
      </c>
      <c r="E55" s="645">
        <f>E52*D55/100</f>
        <v>3154680.85</v>
      </c>
    </row>
    <row r="56" spans="1:10" x14ac:dyDescent="0.25">
      <c r="A56" s="673"/>
      <c r="B56" s="674"/>
      <c r="C56" s="684"/>
      <c r="D56" s="642"/>
      <c r="E56" s="645"/>
      <c r="G56" s="630" t="s">
        <v>577</v>
      </c>
    </row>
    <row r="57" spans="1:10" ht="15.75" thickBot="1" x14ac:dyDescent="0.3">
      <c r="A57" s="663"/>
      <c r="B57" s="678" t="s">
        <v>578</v>
      </c>
      <c r="C57" s="679"/>
      <c r="D57" s="680"/>
      <c r="E57" s="667">
        <f>SUM(E52,E54,E55)</f>
        <v>17666212.760000002</v>
      </c>
      <c r="G57" s="630" t="s">
        <v>579</v>
      </c>
      <c r="H57" s="685">
        <v>7000000</v>
      </c>
      <c r="I57" s="685"/>
      <c r="J57" s="630">
        <v>0.10960419267088972</v>
      </c>
    </row>
    <row r="58" spans="1:10" x14ac:dyDescent="0.25">
      <c r="A58" s="668"/>
      <c r="B58" s="669"/>
      <c r="C58" s="686"/>
      <c r="D58" s="682" t="s">
        <v>580</v>
      </c>
      <c r="E58" s="687"/>
      <c r="G58" s="630" t="s">
        <v>581</v>
      </c>
      <c r="H58" s="685">
        <v>15553196.009444006</v>
      </c>
      <c r="I58" s="685"/>
    </row>
    <row r="59" spans="1:10" x14ac:dyDescent="0.25">
      <c r="A59" s="673">
        <f>A55+1</f>
        <v>47</v>
      </c>
      <c r="B59" s="674" t="s">
        <v>582</v>
      </c>
      <c r="C59" s="684"/>
      <c r="D59" s="688">
        <v>5</v>
      </c>
      <c r="E59" s="645">
        <f t="shared" ref="E59:E65" si="2">$E$57*D59/100</f>
        <v>883310.63800000015</v>
      </c>
      <c r="H59" s="685">
        <v>22553196.009444006</v>
      </c>
      <c r="I59" s="685"/>
    </row>
    <row r="60" spans="1:10" x14ac:dyDescent="0.25">
      <c r="A60" s="641">
        <f t="shared" ref="A60:A66" si="3">+A59+1</f>
        <v>48</v>
      </c>
      <c r="B60" s="689" t="s">
        <v>583</v>
      </c>
      <c r="C60" s="684"/>
      <c r="D60" s="688">
        <v>3</v>
      </c>
      <c r="E60" s="645">
        <f t="shared" si="2"/>
        <v>529986.38280000002</v>
      </c>
      <c r="G60" s="630" t="s">
        <v>584</v>
      </c>
      <c r="H60" s="685"/>
      <c r="I60" s="685"/>
    </row>
    <row r="61" spans="1:10" x14ac:dyDescent="0.25">
      <c r="A61" s="641">
        <f t="shared" si="3"/>
        <v>49</v>
      </c>
      <c r="B61" s="674" t="s">
        <v>585</v>
      </c>
      <c r="C61" s="684"/>
      <c r="D61" s="688">
        <v>4</v>
      </c>
      <c r="E61" s="645">
        <f t="shared" si="2"/>
        <v>706648.51040000003</v>
      </c>
      <c r="G61" s="630" t="s">
        <v>579</v>
      </c>
      <c r="H61" s="685">
        <v>6232770.6513037719</v>
      </c>
      <c r="I61" s="685"/>
    </row>
    <row r="62" spans="1:10" x14ac:dyDescent="0.25">
      <c r="A62" s="641">
        <f t="shared" si="3"/>
        <v>50</v>
      </c>
      <c r="B62" s="689" t="s">
        <v>299</v>
      </c>
      <c r="C62" s="684"/>
      <c r="D62" s="688">
        <v>4</v>
      </c>
      <c r="E62" s="645">
        <f t="shared" si="2"/>
        <v>706648.51040000003</v>
      </c>
      <c r="G62" s="630" t="s">
        <v>581</v>
      </c>
      <c r="H62" s="685">
        <v>13848500.517376792</v>
      </c>
      <c r="I62" s="685"/>
    </row>
    <row r="63" spans="1:10" x14ac:dyDescent="0.25">
      <c r="A63" s="641">
        <f t="shared" si="3"/>
        <v>51</v>
      </c>
      <c r="B63" s="674" t="s">
        <v>586</v>
      </c>
      <c r="C63" s="684"/>
      <c r="D63" s="688">
        <v>5</v>
      </c>
      <c r="E63" s="645">
        <f t="shared" si="2"/>
        <v>883310.63800000015</v>
      </c>
      <c r="G63" s="630" t="s">
        <v>587</v>
      </c>
      <c r="H63" s="685">
        <v>20081271.168680564</v>
      </c>
      <c r="I63" s="685"/>
    </row>
    <row r="64" spans="1:10" x14ac:dyDescent="0.25">
      <c r="A64" s="641">
        <f t="shared" si="3"/>
        <v>52</v>
      </c>
      <c r="B64" s="689" t="s">
        <v>588</v>
      </c>
      <c r="C64" s="684"/>
      <c r="D64" s="688">
        <v>6</v>
      </c>
      <c r="E64" s="645">
        <f t="shared" si="2"/>
        <v>1059972.7656</v>
      </c>
    </row>
    <row r="65" spans="1:11" x14ac:dyDescent="0.25">
      <c r="A65" s="641">
        <f t="shared" si="3"/>
        <v>53</v>
      </c>
      <c r="B65" s="674" t="s">
        <v>589</v>
      </c>
      <c r="C65" s="684"/>
      <c r="D65" s="688">
        <v>0.19</v>
      </c>
      <c r="E65" s="645">
        <f t="shared" si="2"/>
        <v>33565.804244000006</v>
      </c>
    </row>
    <row r="66" spans="1:11" ht="15.75" thickBot="1" x14ac:dyDescent="0.3">
      <c r="A66" s="690">
        <f t="shared" si="3"/>
        <v>54</v>
      </c>
      <c r="B66" s="691" t="s">
        <v>590</v>
      </c>
      <c r="C66" s="692" t="s">
        <v>591</v>
      </c>
      <c r="D66" s="693">
        <v>0</v>
      </c>
      <c r="E66" s="694">
        <v>83540</v>
      </c>
    </row>
    <row r="67" spans="1:11" ht="15.75" thickBot="1" x14ac:dyDescent="0.3">
      <c r="A67" s="663"/>
      <c r="B67" s="695" t="s">
        <v>592</v>
      </c>
      <c r="C67" s="679"/>
      <c r="D67" s="680"/>
      <c r="E67" s="696">
        <f>SUM(E57,E59:E66)</f>
        <v>22553196.009444006</v>
      </c>
    </row>
    <row r="68" spans="1:11" x14ac:dyDescent="0.25">
      <c r="A68" s="697"/>
      <c r="B68" s="698"/>
      <c r="C68" s="698"/>
      <c r="D68" s="699"/>
      <c r="E68" s="698"/>
      <c r="G68" s="700">
        <f>+E25+E26</f>
        <v>7000000</v>
      </c>
      <c r="I68" s="630">
        <v>-0.10960419267088972</v>
      </c>
      <c r="J68" s="630">
        <f>+I68*-1</f>
        <v>0.10960419267088972</v>
      </c>
    </row>
    <row r="69" spans="1:11" x14ac:dyDescent="0.25">
      <c r="G69" s="700">
        <f>+E67-G68</f>
        <v>15553196.009444006</v>
      </c>
    </row>
    <row r="72" spans="1:11" x14ac:dyDescent="0.25">
      <c r="G72" s="630" t="s">
        <v>577</v>
      </c>
    </row>
    <row r="73" spans="1:11" x14ac:dyDescent="0.25">
      <c r="G73" s="630" t="s">
        <v>579</v>
      </c>
      <c r="H73" s="700">
        <f>+E25</f>
        <v>2700000</v>
      </c>
      <c r="I73" s="630" t="s">
        <v>593</v>
      </c>
      <c r="J73" s="703">
        <v>0.10960419267088972</v>
      </c>
      <c r="K73" s="630" t="s">
        <v>594</v>
      </c>
    </row>
    <row r="74" spans="1:11" x14ac:dyDescent="0.25">
      <c r="D74" s="743">
        <f>+'SALIDAS Y TRANSFORMACION'!E19</f>
        <v>0</v>
      </c>
      <c r="H74" s="700">
        <f>+E26</f>
        <v>4300000</v>
      </c>
      <c r="I74" s="630" t="s">
        <v>595</v>
      </c>
    </row>
    <row r="75" spans="1:11" x14ac:dyDescent="0.25">
      <c r="D75" s="743"/>
      <c r="G75" s="630" t="s">
        <v>581</v>
      </c>
      <c r="H75" s="700">
        <f>+E67-H73-H74</f>
        <v>15553196.009444006</v>
      </c>
    </row>
    <row r="76" spans="1:11" x14ac:dyDescent="0.25">
      <c r="H76" s="700">
        <f>SUM(H73:H75)</f>
        <v>22553196.009444006</v>
      </c>
    </row>
    <row r="77" spans="1:11" x14ac:dyDescent="0.25">
      <c r="G77" s="630" t="s">
        <v>584</v>
      </c>
    </row>
    <row r="78" spans="1:11" x14ac:dyDescent="0.25">
      <c r="G78" s="630" t="s">
        <v>579</v>
      </c>
      <c r="H78" s="704">
        <f>+H73-(H73*J73)</f>
        <v>2404068.6797885979</v>
      </c>
      <c r="I78" s="630" t="s">
        <v>593</v>
      </c>
    </row>
    <row r="79" spans="1:11" x14ac:dyDescent="0.25">
      <c r="H79" s="704">
        <f>+H74-(H74*J73)</f>
        <v>3828701.971515174</v>
      </c>
      <c r="I79" s="630" t="s">
        <v>595</v>
      </c>
    </row>
    <row r="80" spans="1:11" x14ac:dyDescent="0.25">
      <c r="G80" s="630" t="s">
        <v>581</v>
      </c>
      <c r="H80" s="704">
        <f>+H75-(H75*J73)</f>
        <v>13848500.517376792</v>
      </c>
    </row>
    <row r="81" spans="7:8" x14ac:dyDescent="0.25">
      <c r="G81" s="630" t="s">
        <v>587</v>
      </c>
      <c r="H81" s="704">
        <f>SUM(H78:H80)</f>
        <v>20081271.168680564</v>
      </c>
    </row>
  </sheetData>
  <mergeCells count="1">
    <mergeCell ref="A1:E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69"/>
  <sheetViews>
    <sheetView topLeftCell="A25" workbookViewId="0">
      <selection activeCell="E27" sqref="E27"/>
    </sheetView>
  </sheetViews>
  <sheetFormatPr baseColWidth="10" defaultColWidth="11.42578125" defaultRowHeight="15" x14ac:dyDescent="0.25"/>
  <cols>
    <col min="1" max="1" width="7.28515625" style="701" customWidth="1"/>
    <col min="2" max="2" width="67.28515625" style="630" customWidth="1"/>
    <col min="3" max="3" width="11.42578125" style="630"/>
    <col min="4" max="4" width="35" style="702" customWidth="1"/>
    <col min="5" max="5" width="14.7109375" style="630" customWidth="1"/>
    <col min="6" max="6" width="11.42578125" style="630"/>
    <col min="7" max="7" width="12.28515625" style="630" bestFit="1" customWidth="1"/>
    <col min="8" max="16384" width="11.42578125" style="630"/>
  </cols>
  <sheetData>
    <row r="1" spans="1:7" ht="30" customHeight="1" thickBot="1" x14ac:dyDescent="0.3">
      <c r="A1" s="1816" t="s">
        <v>602</v>
      </c>
      <c r="B1" s="1817"/>
      <c r="C1" s="1817"/>
      <c r="D1" s="1817"/>
      <c r="E1" s="1818"/>
    </row>
    <row r="2" spans="1:7" ht="30" customHeight="1" thickBot="1" x14ac:dyDescent="0.3">
      <c r="A2" s="631" t="s">
        <v>521</v>
      </c>
      <c r="B2" s="632" t="s">
        <v>522</v>
      </c>
      <c r="C2" s="633" t="s">
        <v>66</v>
      </c>
      <c r="D2" s="634" t="s">
        <v>523</v>
      </c>
      <c r="E2" s="635" t="s">
        <v>524</v>
      </c>
    </row>
    <row r="3" spans="1:7" ht="15" customHeight="1" x14ac:dyDescent="0.25">
      <c r="A3" s="636">
        <v>1</v>
      </c>
      <c r="B3" s="637" t="s">
        <v>525</v>
      </c>
      <c r="C3" s="638">
        <v>1</v>
      </c>
      <c r="D3" s="639">
        <v>65250</v>
      </c>
      <c r="E3" s="640">
        <f>C3*D3</f>
        <v>65250</v>
      </c>
    </row>
    <row r="4" spans="1:7" ht="15" customHeight="1" x14ac:dyDescent="0.25">
      <c r="A4" s="641">
        <f>+A3+1</f>
        <v>2</v>
      </c>
      <c r="B4" s="642" t="s">
        <v>526</v>
      </c>
      <c r="C4" s="638">
        <v>0</v>
      </c>
      <c r="D4" s="643">
        <v>74065.080135988333</v>
      </c>
      <c r="E4" s="640"/>
    </row>
    <row r="5" spans="1:7" ht="15" customHeight="1" x14ac:dyDescent="0.25">
      <c r="A5" s="641">
        <f t="shared" ref="A5:A40" si="0">+A4+1</f>
        <v>3</v>
      </c>
      <c r="B5" s="644" t="s">
        <v>527</v>
      </c>
      <c r="C5" s="638">
        <v>0</v>
      </c>
      <c r="D5" s="643">
        <v>19871.249588590235</v>
      </c>
      <c r="E5" s="645">
        <f t="shared" ref="E5:E39" si="1">C5*D5</f>
        <v>0</v>
      </c>
      <c r="G5" s="646"/>
    </row>
    <row r="6" spans="1:7" ht="15" customHeight="1" x14ac:dyDescent="0.25">
      <c r="A6" s="641">
        <f t="shared" si="0"/>
        <v>4</v>
      </c>
      <c r="B6" s="642" t="s">
        <v>528</v>
      </c>
      <c r="C6" s="647">
        <v>0</v>
      </c>
      <c r="D6" s="643">
        <v>17539.134129330989</v>
      </c>
      <c r="E6" s="645">
        <f t="shared" si="1"/>
        <v>0</v>
      </c>
      <c r="G6" s="646"/>
    </row>
    <row r="7" spans="1:7" ht="15" customHeight="1" x14ac:dyDescent="0.25">
      <c r="A7" s="641">
        <f t="shared" si="0"/>
        <v>5</v>
      </c>
      <c r="B7" s="642" t="s">
        <v>529</v>
      </c>
      <c r="C7" s="638">
        <v>0</v>
      </c>
      <c r="D7" s="643">
        <v>10356</v>
      </c>
      <c r="E7" s="645">
        <f t="shared" si="1"/>
        <v>0</v>
      </c>
      <c r="G7" s="646"/>
    </row>
    <row r="8" spans="1:7" ht="15" customHeight="1" x14ac:dyDescent="0.25">
      <c r="A8" s="641">
        <f t="shared" si="0"/>
        <v>6</v>
      </c>
      <c r="B8" s="642" t="s">
        <v>530</v>
      </c>
      <c r="C8" s="638">
        <v>0</v>
      </c>
      <c r="D8" s="643">
        <v>11733</v>
      </c>
      <c r="E8" s="645">
        <f t="shared" si="1"/>
        <v>0</v>
      </c>
    </row>
    <row r="9" spans="1:7" ht="15" customHeight="1" x14ac:dyDescent="0.25">
      <c r="A9" s="641">
        <f t="shared" si="0"/>
        <v>7</v>
      </c>
      <c r="B9" s="642" t="s">
        <v>531</v>
      </c>
      <c r="C9" s="638">
        <v>0</v>
      </c>
      <c r="D9" s="643">
        <v>162000</v>
      </c>
      <c r="E9" s="645">
        <f t="shared" si="1"/>
        <v>0</v>
      </c>
    </row>
    <row r="10" spans="1:7" ht="15" customHeight="1" x14ac:dyDescent="0.25">
      <c r="A10" s="641">
        <f t="shared" si="0"/>
        <v>8</v>
      </c>
      <c r="B10" s="642" t="s">
        <v>532</v>
      </c>
      <c r="C10" s="638">
        <v>0</v>
      </c>
      <c r="D10" s="643">
        <v>164000</v>
      </c>
      <c r="E10" s="645">
        <f t="shared" si="1"/>
        <v>0</v>
      </c>
    </row>
    <row r="11" spans="1:7" ht="15" customHeight="1" x14ac:dyDescent="0.25">
      <c r="A11" s="641">
        <f t="shared" si="0"/>
        <v>9</v>
      </c>
      <c r="B11" s="642" t="s">
        <v>533</v>
      </c>
      <c r="C11" s="638">
        <v>0</v>
      </c>
      <c r="D11" s="643">
        <v>50000</v>
      </c>
      <c r="E11" s="645">
        <f t="shared" si="1"/>
        <v>0</v>
      </c>
    </row>
    <row r="12" spans="1:7" ht="15" customHeight="1" x14ac:dyDescent="0.25">
      <c r="A12" s="641">
        <f t="shared" si="0"/>
        <v>10</v>
      </c>
      <c r="B12" s="642" t="s">
        <v>534</v>
      </c>
      <c r="C12" s="638">
        <v>0</v>
      </c>
      <c r="D12" s="643">
        <v>24000</v>
      </c>
      <c r="E12" s="645">
        <f t="shared" si="1"/>
        <v>0</v>
      </c>
      <c r="G12" s="646"/>
    </row>
    <row r="13" spans="1:7" ht="15" customHeight="1" x14ac:dyDescent="0.25">
      <c r="A13" s="641">
        <f t="shared" si="0"/>
        <v>11</v>
      </c>
      <c r="B13" s="642" t="s">
        <v>535</v>
      </c>
      <c r="C13" s="638">
        <v>0</v>
      </c>
      <c r="D13" s="643">
        <v>20760</v>
      </c>
      <c r="E13" s="645">
        <f t="shared" si="1"/>
        <v>0</v>
      </c>
      <c r="G13" s="646"/>
    </row>
    <row r="14" spans="1:7" ht="15" customHeight="1" x14ac:dyDescent="0.25">
      <c r="A14" s="641">
        <f t="shared" si="0"/>
        <v>12</v>
      </c>
      <c r="B14" s="642" t="s">
        <v>536</v>
      </c>
      <c r="C14" s="638">
        <v>0</v>
      </c>
      <c r="D14" s="643">
        <v>16614</v>
      </c>
      <c r="E14" s="645">
        <f t="shared" si="1"/>
        <v>0</v>
      </c>
      <c r="G14" s="646"/>
    </row>
    <row r="15" spans="1:7" ht="15" customHeight="1" x14ac:dyDescent="0.25">
      <c r="A15" s="641">
        <f t="shared" si="0"/>
        <v>13</v>
      </c>
      <c r="B15" s="642" t="s">
        <v>537</v>
      </c>
      <c r="C15" s="638">
        <v>0</v>
      </c>
      <c r="D15" s="643">
        <v>7000</v>
      </c>
      <c r="E15" s="645">
        <f t="shared" si="1"/>
        <v>0</v>
      </c>
      <c r="G15" s="646"/>
    </row>
    <row r="16" spans="1:7" ht="15" customHeight="1" x14ac:dyDescent="0.25">
      <c r="A16" s="641">
        <f t="shared" si="0"/>
        <v>14</v>
      </c>
      <c r="B16" s="642" t="s">
        <v>538</v>
      </c>
      <c r="C16" s="638">
        <v>0</v>
      </c>
      <c r="D16" s="643">
        <v>4400</v>
      </c>
      <c r="E16" s="645">
        <f t="shared" si="1"/>
        <v>0</v>
      </c>
      <c r="G16" s="646"/>
    </row>
    <row r="17" spans="1:7" ht="15" customHeight="1" x14ac:dyDescent="0.25">
      <c r="A17" s="641">
        <f t="shared" si="0"/>
        <v>15</v>
      </c>
      <c r="B17" s="648" t="s">
        <v>539</v>
      </c>
      <c r="C17" s="638">
        <v>0</v>
      </c>
      <c r="D17" s="643">
        <v>19000</v>
      </c>
      <c r="E17" s="645">
        <f t="shared" si="1"/>
        <v>0</v>
      </c>
      <c r="G17" s="646"/>
    </row>
    <row r="18" spans="1:7" ht="15" customHeight="1" x14ac:dyDescent="0.25">
      <c r="A18" s="641">
        <f t="shared" si="0"/>
        <v>16</v>
      </c>
      <c r="B18" s="648" t="s">
        <v>540</v>
      </c>
      <c r="C18" s="638">
        <v>0</v>
      </c>
      <c r="D18" s="643">
        <v>13609.78260869565</v>
      </c>
      <c r="E18" s="645">
        <f t="shared" si="1"/>
        <v>0</v>
      </c>
      <c r="G18" s="646"/>
    </row>
    <row r="19" spans="1:7" ht="15" customHeight="1" x14ac:dyDescent="0.25">
      <c r="A19" s="641">
        <f t="shared" si="0"/>
        <v>17</v>
      </c>
      <c r="B19" s="648" t="s">
        <v>541</v>
      </c>
      <c r="C19" s="638">
        <v>0</v>
      </c>
      <c r="D19" s="643">
        <v>17000</v>
      </c>
      <c r="E19" s="645">
        <f>C19*D19</f>
        <v>0</v>
      </c>
      <c r="G19" s="646"/>
    </row>
    <row r="20" spans="1:7" ht="15" customHeight="1" x14ac:dyDescent="0.25">
      <c r="A20" s="641">
        <f t="shared" si="0"/>
        <v>18</v>
      </c>
      <c r="B20" s="648" t="s">
        <v>542</v>
      </c>
      <c r="C20" s="638">
        <v>0</v>
      </c>
      <c r="D20" s="643">
        <v>11600</v>
      </c>
      <c r="E20" s="645">
        <f>C20*D20</f>
        <v>0</v>
      </c>
      <c r="G20" s="646"/>
    </row>
    <row r="21" spans="1:7" ht="15" customHeight="1" x14ac:dyDescent="0.25">
      <c r="A21" s="641">
        <f t="shared" si="0"/>
        <v>19</v>
      </c>
      <c r="B21" s="642" t="s">
        <v>543</v>
      </c>
      <c r="C21" s="638">
        <v>0</v>
      </c>
      <c r="D21" s="643">
        <v>35869.565217391311</v>
      </c>
      <c r="E21" s="645">
        <f t="shared" si="1"/>
        <v>0</v>
      </c>
      <c r="G21" s="646"/>
    </row>
    <row r="22" spans="1:7" ht="15" customHeight="1" x14ac:dyDescent="0.25">
      <c r="A22" s="641">
        <f t="shared" si="0"/>
        <v>20</v>
      </c>
      <c r="B22" s="642" t="s">
        <v>544</v>
      </c>
      <c r="C22" s="638">
        <v>0</v>
      </c>
      <c r="D22" s="643">
        <v>3500000</v>
      </c>
      <c r="E22" s="645">
        <f t="shared" si="1"/>
        <v>0</v>
      </c>
    </row>
    <row r="23" spans="1:7" ht="15" customHeight="1" x14ac:dyDescent="0.25">
      <c r="A23" s="641">
        <f t="shared" si="0"/>
        <v>21</v>
      </c>
      <c r="B23" s="642" t="s">
        <v>545</v>
      </c>
      <c r="C23" s="638">
        <v>0</v>
      </c>
      <c r="D23" s="643">
        <v>3200000</v>
      </c>
      <c r="E23" s="645">
        <f t="shared" si="1"/>
        <v>0</v>
      </c>
    </row>
    <row r="24" spans="1:7" ht="15" customHeight="1" x14ac:dyDescent="0.25">
      <c r="A24" s="641">
        <f t="shared" si="0"/>
        <v>22</v>
      </c>
      <c r="B24" s="642" t="s">
        <v>546</v>
      </c>
      <c r="C24" s="638">
        <v>0</v>
      </c>
      <c r="D24" s="643">
        <v>2000000</v>
      </c>
      <c r="E24" s="645">
        <f t="shared" si="1"/>
        <v>0</v>
      </c>
    </row>
    <row r="25" spans="1:7" ht="15" customHeight="1" x14ac:dyDescent="0.25">
      <c r="A25" s="641">
        <f t="shared" si="0"/>
        <v>23</v>
      </c>
      <c r="B25" s="642" t="s">
        <v>599</v>
      </c>
      <c r="C25" s="638">
        <v>0</v>
      </c>
      <c r="D25" s="643">
        <v>2700000</v>
      </c>
      <c r="E25" s="645">
        <f t="shared" si="1"/>
        <v>0</v>
      </c>
    </row>
    <row r="26" spans="1:7" ht="15" customHeight="1" x14ac:dyDescent="0.25">
      <c r="A26" s="641">
        <f t="shared" si="0"/>
        <v>24</v>
      </c>
      <c r="B26" s="642" t="s">
        <v>548</v>
      </c>
      <c r="C26" s="638">
        <v>0</v>
      </c>
      <c r="D26" s="643">
        <v>2150000</v>
      </c>
      <c r="E26" s="645">
        <f t="shared" si="1"/>
        <v>0</v>
      </c>
    </row>
    <row r="27" spans="1:7" ht="15" customHeight="1" x14ac:dyDescent="0.25">
      <c r="A27" s="641">
        <f t="shared" si="0"/>
        <v>25</v>
      </c>
      <c r="B27" s="642" t="s">
        <v>603</v>
      </c>
      <c r="C27" s="638">
        <v>1</v>
      </c>
      <c r="D27" s="643">
        <v>810000</v>
      </c>
      <c r="E27" s="645">
        <f t="shared" si="1"/>
        <v>810000</v>
      </c>
      <c r="G27" s="700"/>
    </row>
    <row r="28" spans="1:7" ht="15" customHeight="1" x14ac:dyDescent="0.25">
      <c r="A28" s="641">
        <f t="shared" si="0"/>
        <v>26</v>
      </c>
      <c r="B28" s="642" t="s">
        <v>550</v>
      </c>
      <c r="C28" s="638">
        <v>0</v>
      </c>
      <c r="D28" s="643">
        <v>160000</v>
      </c>
      <c r="E28" s="645">
        <f t="shared" si="1"/>
        <v>0</v>
      </c>
    </row>
    <row r="29" spans="1:7" ht="15" customHeight="1" x14ac:dyDescent="0.25">
      <c r="A29" s="641">
        <f t="shared" si="0"/>
        <v>27</v>
      </c>
      <c r="B29" s="642" t="s">
        <v>551</v>
      </c>
      <c r="C29" s="638">
        <v>0</v>
      </c>
      <c r="D29" s="643">
        <v>218000</v>
      </c>
      <c r="E29" s="645">
        <f t="shared" si="1"/>
        <v>0</v>
      </c>
    </row>
    <row r="30" spans="1:7" ht="15" customHeight="1" x14ac:dyDescent="0.25">
      <c r="A30" s="641">
        <f t="shared" si="0"/>
        <v>28</v>
      </c>
      <c r="B30" s="642" t="s">
        <v>552</v>
      </c>
      <c r="C30" s="638">
        <v>0</v>
      </c>
      <c r="D30" s="643">
        <v>850000</v>
      </c>
      <c r="E30" s="645">
        <f t="shared" si="1"/>
        <v>0</v>
      </c>
    </row>
    <row r="31" spans="1:7" ht="15" customHeight="1" x14ac:dyDescent="0.25">
      <c r="A31" s="641">
        <f t="shared" si="0"/>
        <v>29</v>
      </c>
      <c r="B31" s="642" t="s">
        <v>553</v>
      </c>
      <c r="C31" s="638">
        <v>0</v>
      </c>
      <c r="D31" s="643">
        <v>480000</v>
      </c>
      <c r="E31" s="645"/>
    </row>
    <row r="32" spans="1:7" ht="15" customHeight="1" x14ac:dyDescent="0.25">
      <c r="A32" s="641">
        <f t="shared" si="0"/>
        <v>30</v>
      </c>
      <c r="B32" s="642" t="s">
        <v>554</v>
      </c>
      <c r="C32" s="638">
        <v>0</v>
      </c>
      <c r="D32" s="643">
        <v>300000</v>
      </c>
      <c r="E32" s="645">
        <f t="shared" si="1"/>
        <v>0</v>
      </c>
    </row>
    <row r="33" spans="1:7" ht="15" customHeight="1" x14ac:dyDescent="0.25">
      <c r="A33" s="641">
        <f t="shared" si="0"/>
        <v>31</v>
      </c>
      <c r="B33" s="642" t="s">
        <v>555</v>
      </c>
      <c r="C33" s="638">
        <v>0</v>
      </c>
      <c r="D33" s="643">
        <v>200000</v>
      </c>
      <c r="E33" s="645">
        <f t="shared" si="1"/>
        <v>0</v>
      </c>
    </row>
    <row r="34" spans="1:7" ht="15" customHeight="1" x14ac:dyDescent="0.25">
      <c r="A34" s="641">
        <f t="shared" si="0"/>
        <v>32</v>
      </c>
      <c r="B34" s="642" t="s">
        <v>556</v>
      </c>
      <c r="C34" s="638">
        <v>0</v>
      </c>
      <c r="D34" s="643">
        <v>59800</v>
      </c>
      <c r="E34" s="645">
        <f t="shared" si="1"/>
        <v>0</v>
      </c>
    </row>
    <row r="35" spans="1:7" ht="15" customHeight="1" x14ac:dyDescent="0.25">
      <c r="A35" s="641">
        <f t="shared" si="0"/>
        <v>33</v>
      </c>
      <c r="B35" s="642" t="s">
        <v>557</v>
      </c>
      <c r="C35" s="638">
        <v>0</v>
      </c>
      <c r="D35" s="643">
        <v>7400</v>
      </c>
      <c r="E35" s="645">
        <f t="shared" si="1"/>
        <v>0</v>
      </c>
      <c r="G35" s="646"/>
    </row>
    <row r="36" spans="1:7" ht="15" customHeight="1" x14ac:dyDescent="0.25">
      <c r="A36" s="641">
        <f t="shared" si="0"/>
        <v>34</v>
      </c>
      <c r="B36" s="642" t="s">
        <v>558</v>
      </c>
      <c r="C36" s="638">
        <v>0</v>
      </c>
      <c r="D36" s="643">
        <v>14201.865057597364</v>
      </c>
      <c r="E36" s="645">
        <f t="shared" si="1"/>
        <v>0</v>
      </c>
      <c r="G36" s="646"/>
    </row>
    <row r="37" spans="1:7" ht="15" customHeight="1" x14ac:dyDescent="0.25">
      <c r="A37" s="641">
        <f t="shared" si="0"/>
        <v>35</v>
      </c>
      <c r="B37" s="642" t="s">
        <v>559</v>
      </c>
      <c r="C37" s="638">
        <v>0</v>
      </c>
      <c r="D37" s="643">
        <v>9000</v>
      </c>
      <c r="E37" s="645">
        <f t="shared" si="1"/>
        <v>0</v>
      </c>
      <c r="G37" s="646"/>
    </row>
    <row r="38" spans="1:7" ht="15" customHeight="1" x14ac:dyDescent="0.25">
      <c r="A38" s="641">
        <f t="shared" si="0"/>
        <v>36</v>
      </c>
      <c r="B38" s="642" t="s">
        <v>560</v>
      </c>
      <c r="C38" s="638">
        <v>0</v>
      </c>
      <c r="D38" s="643">
        <v>1468.0412371134018</v>
      </c>
      <c r="E38" s="645">
        <f t="shared" si="1"/>
        <v>0</v>
      </c>
      <c r="G38" s="646"/>
    </row>
    <row r="39" spans="1:7" ht="15" customHeight="1" x14ac:dyDescent="0.25">
      <c r="A39" s="641">
        <f t="shared" si="0"/>
        <v>37</v>
      </c>
      <c r="B39" s="642" t="s">
        <v>561</v>
      </c>
      <c r="C39" s="638">
        <v>0</v>
      </c>
      <c r="D39" s="643">
        <v>6775.3623188405809</v>
      </c>
      <c r="E39" s="645">
        <f t="shared" si="1"/>
        <v>0</v>
      </c>
      <c r="G39" s="646"/>
    </row>
    <row r="40" spans="1:7" ht="15" customHeight="1" x14ac:dyDescent="0.25">
      <c r="A40" s="649">
        <f t="shared" si="0"/>
        <v>38</v>
      </c>
      <c r="B40" s="650" t="s">
        <v>562</v>
      </c>
      <c r="C40" s="651">
        <v>0</v>
      </c>
      <c r="D40" s="652">
        <v>6918.4782608695632</v>
      </c>
      <c r="E40" s="653">
        <f>C40*D40</f>
        <v>0</v>
      </c>
      <c r="G40" s="646"/>
    </row>
    <row r="41" spans="1:7" ht="15" customHeight="1" x14ac:dyDescent="0.25">
      <c r="A41" s="654"/>
      <c r="B41" s="655"/>
      <c r="C41" s="656"/>
      <c r="D41" s="657"/>
      <c r="E41" s="640"/>
    </row>
    <row r="42" spans="1:7" ht="15" customHeight="1" x14ac:dyDescent="0.25">
      <c r="A42" s="658"/>
      <c r="B42" s="659" t="s">
        <v>563</v>
      </c>
      <c r="C42" s="660"/>
      <c r="D42" s="661"/>
      <c r="E42" s="662">
        <f>SUM(E3:E40)</f>
        <v>875250</v>
      </c>
    </row>
    <row r="43" spans="1:7" ht="22.5" customHeight="1" thickBot="1" x14ac:dyDescent="0.3">
      <c r="A43" s="663"/>
      <c r="B43" s="664" t="s">
        <v>564</v>
      </c>
      <c r="C43" s="665"/>
      <c r="D43" s="666"/>
      <c r="E43" s="667">
        <f>+E42-SUM(E22:E33)</f>
        <v>65250</v>
      </c>
    </row>
    <row r="44" spans="1:7" ht="30" customHeight="1" x14ac:dyDescent="0.25">
      <c r="A44" s="668"/>
      <c r="B44" s="669"/>
      <c r="C44" s="670"/>
      <c r="D44" s="671" t="s">
        <v>565</v>
      </c>
      <c r="E44" s="672"/>
    </row>
    <row r="45" spans="1:7" ht="15" customHeight="1" x14ac:dyDescent="0.25">
      <c r="A45" s="673">
        <f>+A40+1</f>
        <v>39</v>
      </c>
      <c r="B45" s="674" t="s">
        <v>566</v>
      </c>
      <c r="C45" s="675" t="s">
        <v>567</v>
      </c>
      <c r="D45" s="676">
        <v>5</v>
      </c>
      <c r="E45" s="677">
        <f>$E$43*D45/100</f>
        <v>3262.5</v>
      </c>
    </row>
    <row r="46" spans="1:7" ht="15" customHeight="1" x14ac:dyDescent="0.25">
      <c r="A46" s="641">
        <f>+A45+1</f>
        <v>40</v>
      </c>
      <c r="B46" s="674" t="s">
        <v>568</v>
      </c>
      <c r="C46" s="675" t="s">
        <v>567</v>
      </c>
      <c r="D46" s="676">
        <v>12</v>
      </c>
      <c r="E46" s="677">
        <f>$E$43*D46/100</f>
        <v>7830</v>
      </c>
    </row>
    <row r="47" spans="1:7" ht="15" customHeight="1" x14ac:dyDescent="0.25">
      <c r="A47" s="641">
        <f>+A46+1</f>
        <v>41</v>
      </c>
      <c r="B47" s="674" t="s">
        <v>569</v>
      </c>
      <c r="C47" s="675" t="s">
        <v>567</v>
      </c>
      <c r="D47" s="676">
        <v>50</v>
      </c>
      <c r="E47" s="677">
        <f>E43*D47/100</f>
        <v>32625</v>
      </c>
    </row>
    <row r="48" spans="1:7" ht="15" customHeight="1" x14ac:dyDescent="0.25">
      <c r="A48" s="641">
        <f>+A47+1</f>
        <v>42</v>
      </c>
      <c r="B48" s="674" t="s">
        <v>570</v>
      </c>
      <c r="C48" s="675" t="s">
        <v>567</v>
      </c>
      <c r="D48" s="676">
        <v>70</v>
      </c>
      <c r="E48" s="677">
        <f>E43*D48/100</f>
        <v>45675</v>
      </c>
    </row>
    <row r="49" spans="1:5" x14ac:dyDescent="0.25">
      <c r="A49" s="641">
        <f>+A48+1</f>
        <v>43</v>
      </c>
      <c r="B49" s="674" t="s">
        <v>571</v>
      </c>
      <c r="C49" s="675" t="s">
        <v>567</v>
      </c>
      <c r="D49" s="676">
        <v>15</v>
      </c>
      <c r="E49" s="677">
        <f>E43*D49/100</f>
        <v>9787.5</v>
      </c>
    </row>
    <row r="50" spans="1:5" x14ac:dyDescent="0.25">
      <c r="A50" s="641">
        <f>+A49+1</f>
        <v>44</v>
      </c>
      <c r="B50" s="674" t="s">
        <v>572</v>
      </c>
      <c r="C50" s="675" t="s">
        <v>567</v>
      </c>
      <c r="D50" s="676">
        <v>25</v>
      </c>
      <c r="E50" s="677">
        <f>E43*D50/100</f>
        <v>16312.5</v>
      </c>
    </row>
    <row r="51" spans="1:5" x14ac:dyDescent="0.25">
      <c r="A51" s="673"/>
      <c r="B51" s="674"/>
      <c r="C51" s="675"/>
      <c r="D51" s="642"/>
      <c r="E51" s="645"/>
    </row>
    <row r="52" spans="1:5" ht="15.75" thickBot="1" x14ac:dyDescent="0.3">
      <c r="A52" s="663"/>
      <c r="B52" s="678" t="s">
        <v>573</v>
      </c>
      <c r="C52" s="679"/>
      <c r="D52" s="680"/>
      <c r="E52" s="667">
        <f>+E42+SUM(E45:E50)</f>
        <v>990742.5</v>
      </c>
    </row>
    <row r="53" spans="1:5" x14ac:dyDescent="0.25">
      <c r="A53" s="668"/>
      <c r="B53" s="669"/>
      <c r="C53" s="681"/>
      <c r="D53" s="682" t="s">
        <v>574</v>
      </c>
      <c r="E53" s="672"/>
    </row>
    <row r="54" spans="1:5" x14ac:dyDescent="0.25">
      <c r="A54" s="673">
        <f>+A50+1</f>
        <v>45</v>
      </c>
      <c r="B54" s="674" t="s">
        <v>575</v>
      </c>
      <c r="C54" s="675" t="s">
        <v>567</v>
      </c>
      <c r="D54" s="676">
        <v>15</v>
      </c>
      <c r="E54" s="645">
        <f>E52*D54/100</f>
        <v>148611.375</v>
      </c>
    </row>
    <row r="55" spans="1:5" x14ac:dyDescent="0.25">
      <c r="A55" s="641">
        <f>+A54+1</f>
        <v>46</v>
      </c>
      <c r="B55" s="674" t="s">
        <v>576</v>
      </c>
      <c r="C55" s="675" t="s">
        <v>567</v>
      </c>
      <c r="D55" s="683">
        <v>25</v>
      </c>
      <c r="E55" s="645">
        <f>E52*D55/100</f>
        <v>247685.625</v>
      </c>
    </row>
    <row r="56" spans="1:5" x14ac:dyDescent="0.25">
      <c r="A56" s="673"/>
      <c r="B56" s="674"/>
      <c r="C56" s="684"/>
      <c r="D56" s="642"/>
      <c r="E56" s="645"/>
    </row>
    <row r="57" spans="1:5" ht="15.75" thickBot="1" x14ac:dyDescent="0.3">
      <c r="A57" s="663"/>
      <c r="B57" s="678" t="s">
        <v>578</v>
      </c>
      <c r="C57" s="679"/>
      <c r="D57" s="680"/>
      <c r="E57" s="667">
        <f>SUM(E52,E54,E55)</f>
        <v>1387039.5</v>
      </c>
    </row>
    <row r="58" spans="1:5" x14ac:dyDescent="0.25">
      <c r="A58" s="668"/>
      <c r="B58" s="669"/>
      <c r="C58" s="686"/>
      <c r="D58" s="682" t="s">
        <v>580</v>
      </c>
      <c r="E58" s="687"/>
    </row>
    <row r="59" spans="1:5" x14ac:dyDescent="0.25">
      <c r="A59" s="673">
        <f>A55+1</f>
        <v>47</v>
      </c>
      <c r="B59" s="674" t="s">
        <v>582</v>
      </c>
      <c r="C59" s="684"/>
      <c r="D59" s="688">
        <v>5</v>
      </c>
      <c r="E59" s="645">
        <f t="shared" ref="E59:E65" si="2">$E$57*D59/100</f>
        <v>69351.975000000006</v>
      </c>
    </row>
    <row r="60" spans="1:5" x14ac:dyDescent="0.25">
      <c r="A60" s="641">
        <f t="shared" ref="A60:A66" si="3">+A59+1</f>
        <v>48</v>
      </c>
      <c r="B60" s="689" t="s">
        <v>583</v>
      </c>
      <c r="C60" s="684"/>
      <c r="D60" s="688">
        <v>3</v>
      </c>
      <c r="E60" s="645">
        <f t="shared" si="2"/>
        <v>41611.184999999998</v>
      </c>
    </row>
    <row r="61" spans="1:5" x14ac:dyDescent="0.25">
      <c r="A61" s="641">
        <f t="shared" si="3"/>
        <v>49</v>
      </c>
      <c r="B61" s="674" t="s">
        <v>585</v>
      </c>
      <c r="C61" s="684"/>
      <c r="D61" s="688">
        <v>4</v>
      </c>
      <c r="E61" s="645">
        <f t="shared" si="2"/>
        <v>55481.58</v>
      </c>
    </row>
    <row r="62" spans="1:5" x14ac:dyDescent="0.25">
      <c r="A62" s="641">
        <f t="shared" si="3"/>
        <v>50</v>
      </c>
      <c r="B62" s="689" t="s">
        <v>299</v>
      </c>
      <c r="C62" s="684"/>
      <c r="D62" s="688">
        <v>4</v>
      </c>
      <c r="E62" s="645">
        <f t="shared" si="2"/>
        <v>55481.58</v>
      </c>
    </row>
    <row r="63" spans="1:5" x14ac:dyDescent="0.25">
      <c r="A63" s="641">
        <f t="shared" si="3"/>
        <v>51</v>
      </c>
      <c r="B63" s="674" t="s">
        <v>586</v>
      </c>
      <c r="C63" s="684"/>
      <c r="D63" s="688">
        <v>3</v>
      </c>
      <c r="E63" s="645">
        <f t="shared" si="2"/>
        <v>41611.184999999998</v>
      </c>
    </row>
    <row r="64" spans="1:5" x14ac:dyDescent="0.25">
      <c r="A64" s="641">
        <f t="shared" si="3"/>
        <v>52</v>
      </c>
      <c r="B64" s="689" t="s">
        <v>588</v>
      </c>
      <c r="C64" s="684"/>
      <c r="D64" s="688">
        <v>6</v>
      </c>
      <c r="E64" s="645">
        <f t="shared" si="2"/>
        <v>83222.37</v>
      </c>
    </row>
    <row r="65" spans="1:7" x14ac:dyDescent="0.25">
      <c r="A65" s="641">
        <f t="shared" si="3"/>
        <v>53</v>
      </c>
      <c r="B65" s="674" t="s">
        <v>589</v>
      </c>
      <c r="C65" s="684"/>
      <c r="D65" s="688">
        <v>0.19</v>
      </c>
      <c r="E65" s="645">
        <f t="shared" si="2"/>
        <v>2635.3750500000001</v>
      </c>
    </row>
    <row r="66" spans="1:7" ht="15.75" thickBot="1" x14ac:dyDescent="0.3">
      <c r="A66" s="690">
        <f t="shared" si="3"/>
        <v>54</v>
      </c>
      <c r="B66" s="691" t="s">
        <v>590</v>
      </c>
      <c r="C66" s="692" t="s">
        <v>591</v>
      </c>
      <c r="D66" s="693">
        <v>0</v>
      </c>
      <c r="E66" s="694">
        <f>D66*16.75</f>
        <v>0</v>
      </c>
    </row>
    <row r="67" spans="1:7" ht="15.75" thickBot="1" x14ac:dyDescent="0.3">
      <c r="A67" s="663"/>
      <c r="B67" s="695" t="s">
        <v>592</v>
      </c>
      <c r="C67" s="679"/>
      <c r="D67" s="680"/>
      <c r="E67" s="696">
        <f>SUM(E57,E59:E66)</f>
        <v>1736434.7500500004</v>
      </c>
    </row>
    <row r="68" spans="1:7" ht="18.75" x14ac:dyDescent="0.3">
      <c r="A68" s="697"/>
      <c r="B68" s="698"/>
      <c r="C68" s="698"/>
      <c r="D68" s="699"/>
      <c r="E68" s="698"/>
      <c r="G68" s="742">
        <f>+E27</f>
        <v>810000</v>
      </c>
    </row>
    <row r="69" spans="1:7" ht="18.75" x14ac:dyDescent="0.3">
      <c r="G69" s="742">
        <f>+E67-G68</f>
        <v>926434.75005000038</v>
      </c>
    </row>
  </sheetData>
  <mergeCells count="1">
    <mergeCell ref="A1:E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-0.249977111117893"/>
  </sheetPr>
  <dimension ref="A1:R29"/>
  <sheetViews>
    <sheetView topLeftCell="A8" zoomScale="85" zoomScaleNormal="85" workbookViewId="0">
      <selection activeCell="E44" sqref="E44"/>
    </sheetView>
  </sheetViews>
  <sheetFormatPr baseColWidth="10" defaultColWidth="11.42578125" defaultRowHeight="12.75" x14ac:dyDescent="0.2"/>
  <cols>
    <col min="1" max="1" width="38.42578125" customWidth="1"/>
    <col min="2" max="2" width="17.7109375" customWidth="1"/>
    <col min="3" max="3" width="14.42578125" customWidth="1"/>
    <col min="4" max="4" width="13.42578125" customWidth="1"/>
    <col min="5" max="5" width="11.7109375" customWidth="1"/>
    <col min="7" max="7" width="12.7109375" customWidth="1"/>
    <col min="8" max="8" width="11.28515625" customWidth="1"/>
    <col min="9" max="9" width="17.5703125" customWidth="1"/>
    <col min="10" max="10" width="11.7109375" customWidth="1"/>
    <col min="11" max="11" width="23.28515625" customWidth="1"/>
  </cols>
  <sheetData>
    <row r="1" spans="1:18" ht="19.899999999999999" customHeight="1" x14ac:dyDescent="0.25">
      <c r="A1" s="1696" t="s">
        <v>12</v>
      </c>
      <c r="B1" s="1696"/>
      <c r="C1" s="1696"/>
      <c r="D1" s="1696"/>
      <c r="E1" s="1696"/>
      <c r="F1" s="1696"/>
      <c r="G1" s="1696"/>
      <c r="H1" s="1696"/>
      <c r="I1" s="1696"/>
      <c r="J1" s="1696"/>
      <c r="K1" s="1696"/>
    </row>
    <row r="2" spans="1:18" ht="39.6" customHeight="1" thickBot="1" x14ac:dyDescent="0.25">
      <c r="A2" s="1697" t="s">
        <v>22</v>
      </c>
      <c r="B2" s="1697"/>
      <c r="C2" s="1697"/>
      <c r="D2" s="1697"/>
      <c r="E2" s="1697"/>
      <c r="F2" s="1697"/>
      <c r="G2" s="1697"/>
      <c r="H2" s="1697"/>
      <c r="I2" s="1697"/>
      <c r="J2" s="1697"/>
      <c r="K2" s="1697"/>
    </row>
    <row r="3" spans="1:18" ht="27.6" customHeight="1" x14ac:dyDescent="0.2">
      <c r="A3" s="1698" t="s">
        <v>24</v>
      </c>
      <c r="B3" s="1699"/>
      <c r="C3" s="1699"/>
      <c r="D3" s="1699"/>
      <c r="E3" s="1706" t="s">
        <v>74</v>
      </c>
      <c r="F3" s="1707"/>
      <c r="G3" s="1707"/>
      <c r="H3" s="1707"/>
      <c r="I3" s="1707"/>
      <c r="J3" s="1707"/>
      <c r="K3" s="1708"/>
    </row>
    <row r="4" spans="1:18" ht="27.6" customHeight="1" thickBot="1" x14ac:dyDescent="0.25">
      <c r="A4" s="1700"/>
      <c r="B4" s="1701"/>
      <c r="C4" s="1701"/>
      <c r="D4" s="1701"/>
      <c r="E4" s="3"/>
      <c r="K4" s="8"/>
    </row>
    <row r="5" spans="1:18" ht="27.6" customHeight="1" x14ac:dyDescent="0.2">
      <c r="A5" s="1700"/>
      <c r="B5" s="1701"/>
      <c r="C5" s="1701"/>
      <c r="D5" s="1701"/>
      <c r="E5" s="1706" t="s">
        <v>75</v>
      </c>
      <c r="F5" s="1707"/>
      <c r="G5" s="1707"/>
      <c r="H5" s="1707"/>
      <c r="I5" s="1707"/>
      <c r="J5" s="1707"/>
      <c r="K5" s="1708"/>
    </row>
    <row r="6" spans="1:18" ht="27.6" customHeight="1" thickBot="1" x14ac:dyDescent="0.25">
      <c r="A6" s="1702"/>
      <c r="B6" s="1703"/>
      <c r="C6" s="1703"/>
      <c r="D6" s="1703"/>
      <c r="E6" s="9"/>
      <c r="F6" s="6"/>
      <c r="G6" s="6"/>
      <c r="H6" s="6"/>
      <c r="I6" s="6"/>
      <c r="J6" s="6"/>
      <c r="K6" s="7"/>
    </row>
    <row r="7" spans="1:18" ht="18" customHeight="1" thickBot="1" x14ac:dyDescent="0.25">
      <c r="A7" s="37"/>
      <c r="B7" s="37"/>
      <c r="C7" s="37"/>
      <c r="D7" s="37"/>
      <c r="H7" s="6"/>
    </row>
    <row r="8" spans="1:18" ht="26.65" customHeight="1" x14ac:dyDescent="0.2">
      <c r="A8" s="1695" t="s">
        <v>1044</v>
      </c>
      <c r="B8" s="1695" t="s">
        <v>16</v>
      </c>
      <c r="C8" s="1709" t="s">
        <v>1</v>
      </c>
      <c r="D8" s="1709" t="s">
        <v>136</v>
      </c>
      <c r="E8" s="1704" t="s">
        <v>81</v>
      </c>
      <c r="F8" s="1705" t="s">
        <v>112</v>
      </c>
      <c r="G8" s="1705" t="s">
        <v>113</v>
      </c>
      <c r="H8" s="1705" t="s">
        <v>114</v>
      </c>
      <c r="I8" s="1705" t="s">
        <v>72</v>
      </c>
      <c r="J8" s="52"/>
      <c r="K8" s="1695" t="s">
        <v>73</v>
      </c>
      <c r="L8" s="1694" t="s">
        <v>70</v>
      </c>
      <c r="M8" s="1695" t="s">
        <v>111</v>
      </c>
      <c r="N8" s="166"/>
      <c r="O8" s="160" t="s">
        <v>144</v>
      </c>
      <c r="Q8" s="1692" t="s">
        <v>138</v>
      </c>
    </row>
    <row r="9" spans="1:18" ht="16.899999999999999" customHeight="1" x14ac:dyDescent="0.2">
      <c r="A9" s="1695"/>
      <c r="B9" s="1695"/>
      <c r="C9" s="1710"/>
      <c r="D9" s="1710"/>
      <c r="E9" s="1704"/>
      <c r="F9" s="1705"/>
      <c r="G9" s="1705"/>
      <c r="H9" s="1705"/>
      <c r="I9" s="1705"/>
      <c r="J9" s="53"/>
      <c r="K9" s="1695"/>
      <c r="L9" s="1694"/>
      <c r="M9" s="1695"/>
      <c r="N9" s="166"/>
      <c r="O9" s="160"/>
      <c r="Q9" s="1693"/>
    </row>
    <row r="10" spans="1:18" ht="18.75" customHeight="1" thickBot="1" x14ac:dyDescent="0.3">
      <c r="A10" s="56" t="s">
        <v>14</v>
      </c>
      <c r="B10" s="54"/>
      <c r="C10" s="151"/>
      <c r="D10" s="54"/>
      <c r="E10" s="152"/>
      <c r="F10" s="72">
        <f>+'CX cxj Año1 '!F10</f>
        <v>1.7463481823484322E-2</v>
      </c>
      <c r="G10" s="72">
        <f>+'CX cxj Año1 '!G10</f>
        <v>8.2319969859183714E-3</v>
      </c>
      <c r="H10" s="969">
        <f>+'CX cxj Año1 '!H10</f>
        <v>3.2314329354868353E-2</v>
      </c>
      <c r="I10" s="72">
        <f>+'CX cxj Año1 '!I10</f>
        <v>9.6000000000000002E-2</v>
      </c>
      <c r="J10" s="73"/>
      <c r="K10" s="55"/>
      <c r="L10" s="114">
        <f>+'CX cxj Año1 '!L10</f>
        <v>0.64476329472177196</v>
      </c>
      <c r="M10" s="55"/>
      <c r="N10" s="167"/>
      <c r="O10" s="161"/>
      <c r="Q10" s="154"/>
    </row>
    <row r="11" spans="1:18" x14ac:dyDescent="0.2">
      <c r="A11" s="1169" t="s">
        <v>3</v>
      </c>
      <c r="B11" s="892"/>
      <c r="C11" s="1165"/>
      <c r="D11" s="892"/>
      <c r="E11" s="1165"/>
      <c r="F11" s="1166"/>
      <c r="G11" s="1167"/>
      <c r="H11" s="1166"/>
      <c r="I11" s="1168"/>
      <c r="J11" s="40"/>
      <c r="K11" s="893"/>
      <c r="L11" s="1166"/>
      <c r="M11" s="1168"/>
      <c r="N11" s="163"/>
      <c r="Q11" s="1459"/>
    </row>
    <row r="12" spans="1:18" ht="18" x14ac:dyDescent="0.25">
      <c r="A12" s="1823" t="s">
        <v>82</v>
      </c>
      <c r="B12" s="4" t="str">
        <f>+[8]VNR2004!B8</f>
        <v>Miles B/./Salida</v>
      </c>
      <c r="C12" s="42">
        <f>+'CX cxj Año1 '!C12</f>
        <v>9153.9769634274617</v>
      </c>
      <c r="D12" s="4">
        <f>+' VNR'!D5+' VNR'!D27</f>
        <v>6</v>
      </c>
      <c r="E12" s="42">
        <f>+C12/D12</f>
        <v>1525.6628272379103</v>
      </c>
      <c r="F12" s="4">
        <f>$E12*$F$10</f>
        <v>26.643385052234947</v>
      </c>
      <c r="G12" s="43">
        <f>+$E12*$G$10</f>
        <v>12.559251795350178</v>
      </c>
      <c r="H12" s="4">
        <f>$E12*$H$10</f>
        <v>49.300771083845447</v>
      </c>
      <c r="I12" s="57">
        <f>$E12*$I$10</f>
        <v>146.4636314148394</v>
      </c>
      <c r="J12" s="41"/>
      <c r="K12" s="115">
        <f>+F12+G12+H12+I12</f>
        <v>234.96703934626998</v>
      </c>
      <c r="L12" s="58"/>
      <c r="M12" s="147">
        <f>ROUND(+K12*$L$10,2)</f>
        <v>151.5</v>
      </c>
      <c r="N12" s="164"/>
      <c r="O12" s="170">
        <v>12</v>
      </c>
      <c r="P12" s="62"/>
      <c r="Q12" s="155">
        <f>+M12*D12/12*O12</f>
        <v>909</v>
      </c>
    </row>
    <row r="13" spans="1:18" ht="18" x14ac:dyDescent="0.25">
      <c r="A13" s="1170" t="s">
        <v>83</v>
      </c>
      <c r="B13" s="4" t="str">
        <f>+[8]VNR2004!B9</f>
        <v>Miles B/./Salida</v>
      </c>
      <c r="C13" s="42">
        <f>+'CX cxj Año1 '!C13</f>
        <v>33763.579456221967</v>
      </c>
      <c r="D13" s="4">
        <f>+' VNR'!D6</f>
        <v>14</v>
      </c>
      <c r="E13" s="42">
        <f t="shared" ref="E13:E15" si="0">+C13/D13</f>
        <v>2411.6842468729978</v>
      </c>
      <c r="F13" s="4">
        <f t="shared" ref="F13:F24" si="1">$E13*$F$10</f>
        <v>42.116404009250076</v>
      </c>
      <c r="G13" s="43">
        <f t="shared" ref="G13:G24" si="2">+$E13*$G$10</f>
        <v>19.852977451245337</v>
      </c>
      <c r="H13" s="4">
        <f t="shared" ref="H13:H24" si="3">$E13*$H$10</f>
        <v>77.931959053401684</v>
      </c>
      <c r="I13" s="57">
        <f t="shared" ref="I13:I24" si="4">$E13*$I$10</f>
        <v>231.52168769980779</v>
      </c>
      <c r="J13" s="41"/>
      <c r="K13" s="115">
        <f t="shared" ref="K13:K16" si="5">+F13+G13+H13+I13</f>
        <v>371.42302821370487</v>
      </c>
      <c r="L13" s="58"/>
      <c r="M13" s="147">
        <f t="shared" ref="M13:M18" si="6">ROUND(+K13*$L$10,2)</f>
        <v>239.48</v>
      </c>
      <c r="N13" s="164"/>
      <c r="O13" s="170">
        <v>12</v>
      </c>
      <c r="Q13" s="155">
        <f t="shared" ref="Q13:Q15" si="7">+M13*D13/12*O13</f>
        <v>3352.72</v>
      </c>
      <c r="R13" s="15"/>
    </row>
    <row r="14" spans="1:18" ht="18" x14ac:dyDescent="0.25">
      <c r="A14" s="1170" t="s">
        <v>84</v>
      </c>
      <c r="B14" s="4" t="str">
        <f>+[8]VNR2004!B10</f>
        <v>Miles B/./Salida</v>
      </c>
      <c r="C14" s="42">
        <f>+'CX cxj Año1 '!C14</f>
        <v>1313.6501315770911</v>
      </c>
      <c r="D14" s="4">
        <f>+' VNR'!D7</f>
        <v>1</v>
      </c>
      <c r="E14" s="42">
        <f t="shared" si="0"/>
        <v>1313.6501315770911</v>
      </c>
      <c r="F14" s="4">
        <f t="shared" si="1"/>
        <v>22.940905195214317</v>
      </c>
      <c r="G14" s="43">
        <f t="shared" si="2"/>
        <v>10.813963923693885</v>
      </c>
      <c r="H14" s="4">
        <f t="shared" si="3"/>
        <v>42.449723008848267</v>
      </c>
      <c r="I14" s="57">
        <f t="shared" si="4"/>
        <v>126.11041263140075</v>
      </c>
      <c r="J14" s="41"/>
      <c r="K14" s="115">
        <f t="shared" si="5"/>
        <v>202.3150047591572</v>
      </c>
      <c r="L14" s="58"/>
      <c r="M14" s="147">
        <f t="shared" si="6"/>
        <v>130.44999999999999</v>
      </c>
      <c r="N14" s="164"/>
      <c r="O14" s="170">
        <v>12</v>
      </c>
      <c r="Q14" s="155">
        <f t="shared" si="7"/>
        <v>130.44999999999999</v>
      </c>
    </row>
    <row r="15" spans="1:18" ht="18" x14ac:dyDescent="0.25">
      <c r="A15" s="1170" t="s">
        <v>85</v>
      </c>
      <c r="B15" s="4" t="str">
        <f>+[8]VNR2004!B11</f>
        <v>Miles B/./Salida</v>
      </c>
      <c r="C15" s="42">
        <f>+'CX cxj Año1 '!C15</f>
        <v>8393.2001777465612</v>
      </c>
      <c r="D15" s="4">
        <f>+' VNR'!D8</f>
        <v>3</v>
      </c>
      <c r="E15" s="42">
        <f t="shared" si="0"/>
        <v>2797.7333925821872</v>
      </c>
      <c r="F15" s="4">
        <f t="shared" si="1"/>
        <v>48.858166248314156</v>
      </c>
      <c r="G15" s="43">
        <f t="shared" si="2"/>
        <v>23.030932855139746</v>
      </c>
      <c r="H15" s="4">
        <f t="shared" si="3"/>
        <v>90.406878295013996</v>
      </c>
      <c r="I15" s="57">
        <f t="shared" si="4"/>
        <v>268.58240568789</v>
      </c>
      <c r="J15" s="41"/>
      <c r="K15" s="115">
        <f t="shared" si="5"/>
        <v>430.87838308635787</v>
      </c>
      <c r="L15" s="58"/>
      <c r="M15" s="147">
        <f t="shared" si="6"/>
        <v>277.81</v>
      </c>
      <c r="N15" s="164"/>
      <c r="O15" s="170">
        <v>12</v>
      </c>
      <c r="Q15" s="155">
        <f t="shared" si="7"/>
        <v>833.43000000000006</v>
      </c>
    </row>
    <row r="16" spans="1:18" ht="18" x14ac:dyDescent="0.25">
      <c r="A16" s="1822" t="s">
        <v>86</v>
      </c>
      <c r="B16" s="39" t="s">
        <v>64</v>
      </c>
      <c r="C16" s="42">
        <f>+' VNR'!C9+' VNR'!C31+' VNR'!L31/2*0</f>
        <v>32050.227370338896</v>
      </c>
      <c r="D16" s="4">
        <f>+' VNR'!D9+' VNR'!D31+' VNR'!M31/2*0</f>
        <v>10</v>
      </c>
      <c r="E16" s="42">
        <f t="shared" ref="E16" si="8">+C16/D16</f>
        <v>3205.0227370338898</v>
      </c>
      <c r="F16" s="4">
        <f t="shared" si="1"/>
        <v>55.970856312045306</v>
      </c>
      <c r="G16" s="43">
        <f t="shared" si="2"/>
        <v>26.383737511062829</v>
      </c>
      <c r="H16" s="4">
        <f t="shared" si="3"/>
        <v>103.56816031435474</v>
      </c>
      <c r="I16" s="57">
        <f t="shared" si="4"/>
        <v>307.68218275525345</v>
      </c>
      <c r="J16" s="41"/>
      <c r="K16" s="115">
        <f t="shared" si="5"/>
        <v>493.6049368927163</v>
      </c>
      <c r="L16" s="58"/>
      <c r="M16" s="147">
        <f>ROUND(+K16*$L$10,2)</f>
        <v>318.26</v>
      </c>
      <c r="N16" s="164"/>
      <c r="O16" s="170">
        <v>12</v>
      </c>
      <c r="Q16" s="155">
        <f t="shared" ref="Q16" si="9">+M16*D16/12*O16</f>
        <v>3182.5999999999995</v>
      </c>
    </row>
    <row r="17" spans="1:17" ht="18" x14ac:dyDescent="0.25">
      <c r="A17" s="156" t="s">
        <v>4</v>
      </c>
      <c r="B17" s="4"/>
      <c r="C17" s="42">
        <f>+'CX cxj Año1 '!C17+' VNR'!F33/2+' VNR'!L33/2</f>
        <v>0</v>
      </c>
      <c r="D17" s="4"/>
      <c r="E17" s="42"/>
      <c r="F17" s="4"/>
      <c r="G17" s="43"/>
      <c r="H17" s="4"/>
      <c r="I17" s="57"/>
      <c r="J17" s="41"/>
      <c r="K17" s="115"/>
      <c r="L17" s="58"/>
      <c r="M17" s="59"/>
      <c r="N17" s="164"/>
      <c r="O17" s="170"/>
      <c r="Q17" s="155"/>
    </row>
    <row r="18" spans="1:17" ht="18" x14ac:dyDescent="0.25">
      <c r="A18" s="63" t="str">
        <f>+' VNR'!B12</f>
        <v>CXTR Reductor 60/80/100 MVA</v>
      </c>
      <c r="B18" s="4" t="s">
        <v>91</v>
      </c>
      <c r="C18" s="42">
        <f>+'CX cxj Año1 '!C18</f>
        <v>4453.6182377634577</v>
      </c>
      <c r="D18" s="4">
        <f>+'CX cxj Año1 '!D18</f>
        <v>600</v>
      </c>
      <c r="E18" s="42">
        <f t="shared" ref="E18:E23" si="10">+C18/D18</f>
        <v>7.422697062939096</v>
      </c>
      <c r="F18" s="4">
        <f t="shared" si="1"/>
        <v>0.12962613523986735</v>
      </c>
      <c r="G18" s="43">
        <f t="shared" si="2"/>
        <v>6.1103619849499788E-2</v>
      </c>
      <c r="H18" s="4">
        <f t="shared" si="3"/>
        <v>0.23985947759322793</v>
      </c>
      <c r="I18" s="57">
        <f t="shared" si="4"/>
        <v>0.71257891804215323</v>
      </c>
      <c r="J18" s="41"/>
      <c r="K18" s="116">
        <f>+G18+F18+H18+I18</f>
        <v>1.1431681507247484</v>
      </c>
      <c r="L18" s="58"/>
      <c r="M18" s="147">
        <f t="shared" si="6"/>
        <v>0.74</v>
      </c>
      <c r="N18" s="164"/>
      <c r="O18" s="170">
        <v>12</v>
      </c>
      <c r="Q18" s="155">
        <f t="shared" ref="Q18" si="11">+M18*D18/12*O18</f>
        <v>444</v>
      </c>
    </row>
    <row r="19" spans="1:17" x14ac:dyDescent="0.2">
      <c r="A19" s="64" t="s">
        <v>5</v>
      </c>
      <c r="B19" s="4" t="s">
        <v>91</v>
      </c>
      <c r="C19" s="42"/>
      <c r="D19" s="4"/>
      <c r="E19" s="42"/>
      <c r="F19" s="4"/>
      <c r="G19" s="43"/>
      <c r="H19" s="4"/>
      <c r="I19" s="57"/>
      <c r="J19" s="41"/>
      <c r="K19" s="116"/>
      <c r="L19" s="58"/>
      <c r="M19" s="59"/>
      <c r="N19" s="164"/>
      <c r="O19" s="164"/>
      <c r="Q19" s="155"/>
    </row>
    <row r="20" spans="1:17" x14ac:dyDescent="0.2">
      <c r="A20" s="1473" t="s">
        <v>6</v>
      </c>
      <c r="B20" s="4" t="s">
        <v>91</v>
      </c>
      <c r="C20" s="42"/>
      <c r="D20" s="4"/>
      <c r="E20" s="42"/>
      <c r="F20" s="4"/>
      <c r="G20" s="43"/>
      <c r="H20" s="4"/>
      <c r="I20" s="57"/>
      <c r="J20" s="41"/>
      <c r="K20" s="116"/>
      <c r="L20" s="58"/>
      <c r="M20" s="59"/>
      <c r="N20" s="164"/>
      <c r="O20" s="164"/>
      <c r="Q20" s="155"/>
    </row>
    <row r="21" spans="1:17" ht="18" x14ac:dyDescent="0.25">
      <c r="A21" s="1473" t="s">
        <v>1049</v>
      </c>
      <c r="B21" s="1609" t="s">
        <v>91</v>
      </c>
      <c r="C21" s="42">
        <f>+'CX cxj Año1 '!C21</f>
        <v>2522.2986042971866</v>
      </c>
      <c r="D21" s="4">
        <f>+'CX cxj Año1 '!D21</f>
        <v>24</v>
      </c>
      <c r="E21" s="42">
        <f t="shared" ref="E21" si="12">+C21/D21</f>
        <v>105.09577517904944</v>
      </c>
      <c r="F21" s="4">
        <f t="shared" si="1"/>
        <v>1.8353381595643246</v>
      </c>
      <c r="G21" s="43">
        <f t="shared" si="2"/>
        <v>0.86514810450668977</v>
      </c>
      <c r="H21" s="4">
        <f t="shared" si="3"/>
        <v>3.3960994929410022</v>
      </c>
      <c r="I21" s="57">
        <f t="shared" si="4"/>
        <v>10.089194417188747</v>
      </c>
      <c r="J21" s="41"/>
      <c r="K21" s="116">
        <f>+G21+F21+H21+I21</f>
        <v>16.185780174200765</v>
      </c>
      <c r="L21" s="58"/>
      <c r="M21" s="147">
        <f t="shared" ref="M21" si="13">ROUND(+K21*$L$10,2)</f>
        <v>10.44</v>
      </c>
      <c r="N21" s="164"/>
      <c r="O21" s="170">
        <v>12</v>
      </c>
      <c r="Q21" s="155">
        <f t="shared" ref="Q21" si="14">+M21*D21/12*O21</f>
        <v>250.56</v>
      </c>
    </row>
    <row r="22" spans="1:17" ht="18" x14ac:dyDescent="0.25">
      <c r="A22" s="1171" t="s">
        <v>7</v>
      </c>
      <c r="B22" s="117" t="s">
        <v>10</v>
      </c>
      <c r="C22" s="42">
        <f>+'CX cxj Año1 '!C22+' VNR'!F38/2+' VNR'!L38/2</f>
        <v>0</v>
      </c>
      <c r="D22" s="117">
        <f>+'CX cxj Año1 '!D22</f>
        <v>0</v>
      </c>
      <c r="E22" s="42"/>
      <c r="F22" s="4"/>
      <c r="G22" s="43"/>
      <c r="H22" s="4"/>
      <c r="I22" s="57"/>
      <c r="J22" s="41"/>
      <c r="K22" s="116"/>
      <c r="L22" s="58"/>
      <c r="M22" s="59"/>
      <c r="N22" s="164"/>
      <c r="O22" s="170"/>
      <c r="P22" s="10"/>
      <c r="Q22" s="155"/>
    </row>
    <row r="23" spans="1:17" ht="18" x14ac:dyDescent="0.25">
      <c r="A23" s="1172" t="s">
        <v>115</v>
      </c>
      <c r="B23" s="4" t="str">
        <f>+[8]VNR2004!B21</f>
        <v>Miles B/./km</v>
      </c>
      <c r="C23" s="42">
        <f>+'CX cxj Año1 '!C23</f>
        <v>10655.961662479996</v>
      </c>
      <c r="D23" s="4">
        <f>+'CX cxj Año1 '!D23</f>
        <v>36.129999999999995</v>
      </c>
      <c r="E23" s="42">
        <f t="shared" si="10"/>
        <v>294.93389599999995</v>
      </c>
      <c r="F23" s="4">
        <f t="shared" si="1"/>
        <v>5.150572731925414</v>
      </c>
      <c r="G23" s="43">
        <f t="shared" si="2"/>
        <v>2.4278949429171619</v>
      </c>
      <c r="H23" s="4">
        <f t="shared" si="3"/>
        <v>9.5305910532584885</v>
      </c>
      <c r="I23" s="57">
        <f t="shared" si="4"/>
        <v>28.313654015999994</v>
      </c>
      <c r="J23" s="41"/>
      <c r="K23" s="115">
        <f t="shared" ref="K23:K24" si="15">+F23+G23+H23+I23</f>
        <v>45.422712744101062</v>
      </c>
      <c r="L23" s="58"/>
      <c r="M23" s="147">
        <f>ROUND(+K23*$L$10,2)</f>
        <v>29.29</v>
      </c>
      <c r="N23" s="164"/>
      <c r="O23" s="170">
        <v>12</v>
      </c>
      <c r="P23" s="10"/>
      <c r="Q23" s="155">
        <f t="shared" ref="Q23:Q24" si="16">+M23*D23/12*O23</f>
        <v>1058.2476999999999</v>
      </c>
    </row>
    <row r="24" spans="1:17" ht="18" x14ac:dyDescent="0.25">
      <c r="A24" s="1548" t="s">
        <v>1054</v>
      </c>
      <c r="B24" s="39" t="s">
        <v>116</v>
      </c>
      <c r="C24" s="4">
        <f>+'CX cxj Año1 '!C24</f>
        <v>23578.236586629999</v>
      </c>
      <c r="D24" s="57">
        <f>+'CX cxj Año1 '!D24</f>
        <v>33.969999999999992</v>
      </c>
      <c r="E24" s="42">
        <f t="shared" ref="E24" si="17">+C24/D24</f>
        <v>694.08997900000008</v>
      </c>
      <c r="F24" s="4">
        <f t="shared" si="1"/>
        <v>12.121227732129116</v>
      </c>
      <c r="G24" s="43">
        <f t="shared" si="2"/>
        <v>5.7137466150841467</v>
      </c>
      <c r="H24" s="4">
        <f t="shared" si="3"/>
        <v>22.429052183319662</v>
      </c>
      <c r="I24" s="57">
        <f t="shared" si="4"/>
        <v>66.632637984000013</v>
      </c>
      <c r="J24" s="41"/>
      <c r="K24" s="115">
        <f t="shared" si="15"/>
        <v>106.89666451453294</v>
      </c>
      <c r="L24" s="61"/>
      <c r="M24" s="60">
        <f t="shared" ref="M24" si="18">ROUND(+K24*$L$10,2)</f>
        <v>68.92</v>
      </c>
      <c r="N24" s="165"/>
      <c r="O24" s="170">
        <v>12</v>
      </c>
      <c r="Q24" s="155">
        <f t="shared" si="16"/>
        <v>2341.2123999999994</v>
      </c>
    </row>
    <row r="25" spans="1:17" x14ac:dyDescent="0.2">
      <c r="A25" s="51"/>
      <c r="B25" s="157"/>
      <c r="C25" s="157">
        <f>SUM(C12:C24)</f>
        <v>125884.74919048262</v>
      </c>
      <c r="D25" s="157"/>
      <c r="E25" s="157"/>
      <c r="F25" s="157"/>
      <c r="G25" s="158"/>
      <c r="H25" s="157"/>
      <c r="I25" s="157"/>
      <c r="K25" s="158"/>
      <c r="L25" s="5"/>
      <c r="M25" s="159"/>
      <c r="N25" s="159"/>
      <c r="O25" s="159"/>
      <c r="Q25" s="157"/>
    </row>
    <row r="26" spans="1:17" x14ac:dyDescent="0.2">
      <c r="A26" s="51"/>
      <c r="C26" s="15"/>
      <c r="N26" s="159"/>
      <c r="P26" t="s">
        <v>11</v>
      </c>
      <c r="Q26" s="15">
        <f>SUM(Q12:Q24)</f>
        <v>12502.220099999999</v>
      </c>
    </row>
    <row r="29" spans="1:17" x14ac:dyDescent="0.2">
      <c r="Q29" s="15"/>
    </row>
  </sheetData>
  <mergeCells count="18">
    <mergeCell ref="A8:A9"/>
    <mergeCell ref="B8:B9"/>
    <mergeCell ref="C8:C9"/>
    <mergeCell ref="D8:D9"/>
    <mergeCell ref="E8:E9"/>
    <mergeCell ref="A1:K1"/>
    <mergeCell ref="A2:K2"/>
    <mergeCell ref="A3:D6"/>
    <mergeCell ref="E3:K3"/>
    <mergeCell ref="E5:K5"/>
    <mergeCell ref="L8:L9"/>
    <mergeCell ref="M8:M9"/>
    <mergeCell ref="Q8:Q9"/>
    <mergeCell ref="F8:F9"/>
    <mergeCell ref="G8:G9"/>
    <mergeCell ref="I8:I9"/>
    <mergeCell ref="K8:K9"/>
    <mergeCell ref="H8:H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-0.249977111117893"/>
  </sheetPr>
  <dimension ref="A1:Q30"/>
  <sheetViews>
    <sheetView topLeftCell="A5" zoomScale="85" zoomScaleNormal="85" workbookViewId="0">
      <selection activeCell="E44" sqref="E44"/>
    </sheetView>
  </sheetViews>
  <sheetFormatPr baseColWidth="10" defaultColWidth="11.42578125" defaultRowHeight="12.75" x14ac:dyDescent="0.2"/>
  <cols>
    <col min="1" max="1" width="38.42578125" customWidth="1"/>
    <col min="2" max="2" width="17.7109375" customWidth="1"/>
    <col min="3" max="3" width="14.42578125" customWidth="1"/>
    <col min="4" max="4" width="13.42578125" customWidth="1"/>
    <col min="5" max="5" width="11.7109375" customWidth="1"/>
    <col min="7" max="7" width="12.7109375" customWidth="1"/>
    <col min="8" max="8" width="11.28515625" customWidth="1"/>
    <col min="9" max="9" width="17.5703125" customWidth="1"/>
    <col min="10" max="10" width="11.7109375" customWidth="1"/>
    <col min="11" max="11" width="23.28515625" customWidth="1"/>
  </cols>
  <sheetData>
    <row r="1" spans="1:17" ht="18" x14ac:dyDescent="0.25">
      <c r="A1" s="1696" t="s">
        <v>12</v>
      </c>
      <c r="B1" s="1696"/>
      <c r="C1" s="1696"/>
      <c r="D1" s="1696"/>
      <c r="E1" s="1696"/>
      <c r="F1" s="1696"/>
      <c r="G1" s="1696"/>
      <c r="H1" s="1696"/>
      <c r="I1" s="1696"/>
      <c r="J1" s="1696"/>
      <c r="K1" s="1696"/>
    </row>
    <row r="2" spans="1:17" ht="39.6" customHeight="1" thickBot="1" x14ac:dyDescent="0.25">
      <c r="A2" s="1697" t="s">
        <v>22</v>
      </c>
      <c r="B2" s="1697"/>
      <c r="C2" s="1697"/>
      <c r="D2" s="1697"/>
      <c r="E2" s="1697"/>
      <c r="F2" s="1697"/>
      <c r="G2" s="1697"/>
      <c r="H2" s="1697"/>
      <c r="I2" s="1697"/>
      <c r="J2" s="1697"/>
      <c r="K2" s="1697"/>
    </row>
    <row r="3" spans="1:17" ht="27.6" customHeight="1" x14ac:dyDescent="0.2">
      <c r="A3" s="1698" t="s">
        <v>24</v>
      </c>
      <c r="B3" s="1699"/>
      <c r="C3" s="1699"/>
      <c r="D3" s="1699"/>
      <c r="E3" s="1706" t="s">
        <v>74</v>
      </c>
      <c r="F3" s="1707"/>
      <c r="G3" s="1707"/>
      <c r="H3" s="1707"/>
      <c r="I3" s="1707"/>
      <c r="J3" s="1707"/>
      <c r="K3" s="1708"/>
    </row>
    <row r="4" spans="1:17" ht="27.6" customHeight="1" thickBot="1" x14ac:dyDescent="0.25">
      <c r="A4" s="1700"/>
      <c r="B4" s="1701"/>
      <c r="C4" s="1701"/>
      <c r="D4" s="1701"/>
      <c r="E4" s="3"/>
      <c r="K4" s="8"/>
    </row>
    <row r="5" spans="1:17" ht="27.6" customHeight="1" x14ac:dyDescent="0.2">
      <c r="A5" s="1700"/>
      <c r="B5" s="1701"/>
      <c r="C5" s="1701"/>
      <c r="D5" s="1701"/>
      <c r="E5" s="1706" t="s">
        <v>75</v>
      </c>
      <c r="F5" s="1707"/>
      <c r="G5" s="1707"/>
      <c r="H5" s="1707"/>
      <c r="I5" s="1707"/>
      <c r="J5" s="1707"/>
      <c r="K5" s="1708"/>
    </row>
    <row r="6" spans="1:17" ht="27.6" customHeight="1" thickBot="1" x14ac:dyDescent="0.25">
      <c r="A6" s="1702"/>
      <c r="B6" s="1703"/>
      <c r="C6" s="1703"/>
      <c r="D6" s="1703"/>
      <c r="E6" s="9"/>
      <c r="F6" s="6"/>
      <c r="G6" s="6"/>
      <c r="H6" s="6"/>
      <c r="I6" s="6"/>
      <c r="J6" s="6"/>
      <c r="K6" s="7"/>
    </row>
    <row r="7" spans="1:17" ht="18" customHeight="1" thickBot="1" x14ac:dyDescent="0.25">
      <c r="A7" s="37"/>
      <c r="B7" s="37"/>
      <c r="C7" s="37"/>
      <c r="D7" s="37"/>
      <c r="H7" s="6"/>
    </row>
    <row r="8" spans="1:17" ht="26.65" customHeight="1" x14ac:dyDescent="0.2">
      <c r="A8" s="1695" t="s">
        <v>1045</v>
      </c>
      <c r="B8" s="1695" t="s">
        <v>16</v>
      </c>
      <c r="C8" s="1709" t="s">
        <v>1</v>
      </c>
      <c r="D8" s="1709" t="s">
        <v>136</v>
      </c>
      <c r="E8" s="1704" t="s">
        <v>81</v>
      </c>
      <c r="F8" s="1705" t="s">
        <v>112</v>
      </c>
      <c r="G8" s="1705" t="s">
        <v>113</v>
      </c>
      <c r="H8" s="1705" t="s">
        <v>114</v>
      </c>
      <c r="I8" s="1705" t="s">
        <v>72</v>
      </c>
      <c r="J8" s="52"/>
      <c r="K8" s="1695" t="s">
        <v>73</v>
      </c>
      <c r="L8" s="1694" t="s">
        <v>70</v>
      </c>
      <c r="M8" s="1695" t="s">
        <v>111</v>
      </c>
      <c r="N8" s="166"/>
      <c r="O8" s="160" t="s">
        <v>144</v>
      </c>
      <c r="Q8" s="1692" t="s">
        <v>138</v>
      </c>
    </row>
    <row r="9" spans="1:17" ht="16.899999999999999" customHeight="1" x14ac:dyDescent="0.2">
      <c r="A9" s="1695"/>
      <c r="B9" s="1695"/>
      <c r="C9" s="1710"/>
      <c r="D9" s="1710"/>
      <c r="E9" s="1704"/>
      <c r="F9" s="1705"/>
      <c r="G9" s="1705"/>
      <c r="H9" s="1705"/>
      <c r="I9" s="1705"/>
      <c r="J9" s="53"/>
      <c r="K9" s="1695"/>
      <c r="L9" s="1694"/>
      <c r="M9" s="1695"/>
      <c r="N9" s="166"/>
      <c r="O9" s="160"/>
      <c r="Q9" s="1693"/>
    </row>
    <row r="10" spans="1:17" ht="18.75" customHeight="1" thickBot="1" x14ac:dyDescent="0.3">
      <c r="A10" s="56" t="s">
        <v>14</v>
      </c>
      <c r="B10" s="54"/>
      <c r="C10" s="151"/>
      <c r="D10" s="54"/>
      <c r="E10" s="152"/>
      <c r="F10" s="72">
        <f>+'CX cxj Año2'!F10</f>
        <v>1.7463481823484322E-2</v>
      </c>
      <c r="G10" s="72">
        <f>+'CX cxj Año2'!G10</f>
        <v>8.2319969859183714E-3</v>
      </c>
      <c r="H10" s="969">
        <f>+'CX cxj Año2'!H10</f>
        <v>3.2314329354868353E-2</v>
      </c>
      <c r="I10" s="72">
        <f>+'CX cxj Año2'!I10</f>
        <v>9.6000000000000002E-2</v>
      </c>
      <c r="J10" s="73"/>
      <c r="K10" s="55"/>
      <c r="L10" s="114">
        <f>+'CX cxj Año1 '!L10</f>
        <v>0.64476329472177196</v>
      </c>
      <c r="M10" s="55"/>
      <c r="N10" s="167"/>
      <c r="O10" s="161"/>
      <c r="Q10" s="154"/>
    </row>
    <row r="11" spans="1:17" x14ac:dyDescent="0.2">
      <c r="A11" s="1169" t="s">
        <v>3</v>
      </c>
      <c r="B11" s="892"/>
      <c r="C11" s="1165"/>
      <c r="D11" s="892"/>
      <c r="E11" s="1165"/>
      <c r="F11" s="1166"/>
      <c r="G11" s="1167"/>
      <c r="H11" s="1166"/>
      <c r="I11" s="1168"/>
      <c r="J11" s="40"/>
      <c r="K11" s="893"/>
      <c r="L11" s="1166"/>
      <c r="M11" s="1168"/>
      <c r="N11" s="163"/>
      <c r="Q11" s="1459"/>
    </row>
    <row r="12" spans="1:17" ht="18" x14ac:dyDescent="0.25">
      <c r="A12" s="1823" t="s">
        <v>82</v>
      </c>
      <c r="B12" s="4" t="str">
        <f>+[8]VNR2004!B8</f>
        <v>Miles B/./Salida</v>
      </c>
      <c r="C12" s="42">
        <f>+'CX cxj Año2'!C12</f>
        <v>9153.9769634274617</v>
      </c>
      <c r="D12" s="4">
        <f>+' VNR'!D5+' VNR'!D27</f>
        <v>6</v>
      </c>
      <c r="E12" s="42">
        <f>+C12/D12</f>
        <v>1525.6628272379103</v>
      </c>
      <c r="F12" s="4">
        <f>$E12*$F$10</f>
        <v>26.643385052234947</v>
      </c>
      <c r="G12" s="43">
        <f>+$E12*$G$10</f>
        <v>12.559251795350178</v>
      </c>
      <c r="H12" s="4">
        <f>$E12*$H$10</f>
        <v>49.300771083845447</v>
      </c>
      <c r="I12" s="57">
        <f>$E12*$I$10</f>
        <v>146.4636314148394</v>
      </c>
      <c r="J12" s="41"/>
      <c r="K12" s="115">
        <f>+F12+G12+H12+I12</f>
        <v>234.96703934626998</v>
      </c>
      <c r="L12" s="58"/>
      <c r="M12" s="147">
        <f>ROUND(+K12*$L$10,2)</f>
        <v>151.5</v>
      </c>
      <c r="N12" s="164"/>
      <c r="O12" s="170">
        <v>12</v>
      </c>
      <c r="P12" s="62"/>
      <c r="Q12" s="155">
        <f>+M12*D12/12*O12</f>
        <v>909</v>
      </c>
    </row>
    <row r="13" spans="1:17" ht="18" x14ac:dyDescent="0.25">
      <c r="A13" s="1170" t="s">
        <v>83</v>
      </c>
      <c r="B13" s="4" t="str">
        <f>+[8]VNR2004!B9</f>
        <v>Miles B/./Salida</v>
      </c>
      <c r="C13" s="42">
        <f>+'CX cxj Año2'!C13</f>
        <v>33763.579456221967</v>
      </c>
      <c r="D13" s="4">
        <f>+' VNR'!D6</f>
        <v>14</v>
      </c>
      <c r="E13" s="42">
        <f t="shared" ref="E13:E15" si="0">+C13/D13</f>
        <v>2411.6842468729978</v>
      </c>
      <c r="F13" s="4">
        <f t="shared" ref="F13:F24" si="1">$E13*$F$10</f>
        <v>42.116404009250076</v>
      </c>
      <c r="G13" s="43">
        <f t="shared" ref="G13:G24" si="2">+$E13*$G$10</f>
        <v>19.852977451245337</v>
      </c>
      <c r="H13" s="4">
        <f t="shared" ref="H13:H24" si="3">$E13*$H$10</f>
        <v>77.931959053401684</v>
      </c>
      <c r="I13" s="57">
        <f t="shared" ref="I13:I24" si="4">$E13*$I$10</f>
        <v>231.52168769980779</v>
      </c>
      <c r="J13" s="41"/>
      <c r="K13" s="115">
        <f t="shared" ref="K13:K15" si="5">+F13+G13+H13+I13</f>
        <v>371.42302821370487</v>
      </c>
      <c r="L13" s="58"/>
      <c r="M13" s="147">
        <f t="shared" ref="M13:M18" si="6">ROUND(+K13*$L$10,2)</f>
        <v>239.48</v>
      </c>
      <c r="N13" s="164"/>
      <c r="O13" s="170">
        <v>12</v>
      </c>
      <c r="Q13" s="155">
        <f t="shared" ref="Q13:Q15" si="7">+M13*D13/12*O13</f>
        <v>3352.72</v>
      </c>
    </row>
    <row r="14" spans="1:17" ht="18" x14ac:dyDescent="0.25">
      <c r="A14" s="1170" t="s">
        <v>84</v>
      </c>
      <c r="B14" s="4" t="str">
        <f>+[8]VNR2004!B10</f>
        <v>Miles B/./Salida</v>
      </c>
      <c r="C14" s="42">
        <f>+'CX cxj Año2'!C14</f>
        <v>1313.6501315770911</v>
      </c>
      <c r="D14" s="4">
        <f>+' VNR'!D7</f>
        <v>1</v>
      </c>
      <c r="E14" s="42">
        <f t="shared" si="0"/>
        <v>1313.6501315770911</v>
      </c>
      <c r="F14" s="4">
        <f t="shared" si="1"/>
        <v>22.940905195214317</v>
      </c>
      <c r="G14" s="43">
        <f t="shared" si="2"/>
        <v>10.813963923693885</v>
      </c>
      <c r="H14" s="4">
        <f t="shared" si="3"/>
        <v>42.449723008848267</v>
      </c>
      <c r="I14" s="57">
        <f t="shared" si="4"/>
        <v>126.11041263140075</v>
      </c>
      <c r="J14" s="41"/>
      <c r="K14" s="115">
        <f t="shared" si="5"/>
        <v>202.3150047591572</v>
      </c>
      <c r="L14" s="58"/>
      <c r="M14" s="147">
        <f t="shared" si="6"/>
        <v>130.44999999999999</v>
      </c>
      <c r="N14" s="164"/>
      <c r="O14" s="170">
        <v>12</v>
      </c>
      <c r="Q14" s="155">
        <f t="shared" si="7"/>
        <v>130.44999999999999</v>
      </c>
    </row>
    <row r="15" spans="1:17" ht="18" x14ac:dyDescent="0.25">
      <c r="A15" s="1170" t="s">
        <v>85</v>
      </c>
      <c r="B15" s="4" t="str">
        <f>+[8]VNR2004!B11</f>
        <v>Miles B/./Salida</v>
      </c>
      <c r="C15" s="42">
        <f>+'CX cxj Año2'!C15</f>
        <v>8393.2001777465612</v>
      </c>
      <c r="D15" s="4">
        <f>+' VNR'!D8</f>
        <v>3</v>
      </c>
      <c r="E15" s="42">
        <f t="shared" si="0"/>
        <v>2797.7333925821872</v>
      </c>
      <c r="F15" s="4">
        <f t="shared" si="1"/>
        <v>48.858166248314156</v>
      </c>
      <c r="G15" s="43">
        <f t="shared" si="2"/>
        <v>23.030932855139746</v>
      </c>
      <c r="H15" s="4">
        <f t="shared" si="3"/>
        <v>90.406878295013996</v>
      </c>
      <c r="I15" s="57">
        <f t="shared" si="4"/>
        <v>268.58240568789</v>
      </c>
      <c r="J15" s="41"/>
      <c r="K15" s="115">
        <f t="shared" si="5"/>
        <v>430.87838308635787</v>
      </c>
      <c r="L15" s="58"/>
      <c r="M15" s="147">
        <f t="shared" si="6"/>
        <v>277.81</v>
      </c>
      <c r="N15" s="164"/>
      <c r="O15" s="170">
        <v>12</v>
      </c>
      <c r="Q15" s="155">
        <f t="shared" si="7"/>
        <v>833.43000000000006</v>
      </c>
    </row>
    <row r="16" spans="1:17" ht="18" x14ac:dyDescent="0.25">
      <c r="A16" s="1822" t="s">
        <v>86</v>
      </c>
      <c r="B16" s="39" t="s">
        <v>64</v>
      </c>
      <c r="C16" s="42">
        <f>+' VNR'!C9+' VNR'!C31+' VNR'!L31/2</f>
        <v>34614.755370338899</v>
      </c>
      <c r="D16" s="4">
        <f>+' VNR'!D9+' VNR'!D31+' VNR'!M31/2+' VNR'!S31/2</f>
        <v>11</v>
      </c>
      <c r="E16" s="42">
        <f>+C16/D16</f>
        <v>3146.7959427580818</v>
      </c>
      <c r="F16" s="4">
        <f>$E16*$F$10</f>
        <v>54.95401374856997</v>
      </c>
      <c r="G16" s="43">
        <f t="shared" si="2"/>
        <v>25.904414716084688</v>
      </c>
      <c r="H16" s="4">
        <f t="shared" si="3"/>
        <v>101.68660050684811</v>
      </c>
      <c r="I16" s="57">
        <f t="shared" si="4"/>
        <v>302.09241050477584</v>
      </c>
      <c r="J16" s="41"/>
      <c r="K16" s="115">
        <f>+F16+G16+H16+I16</f>
        <v>484.63743947627859</v>
      </c>
      <c r="L16" s="58"/>
      <c r="M16" s="147">
        <f>ROUND(+K16*$L$10,2)</f>
        <v>312.48</v>
      </c>
      <c r="N16" s="164"/>
      <c r="O16" s="170">
        <v>12</v>
      </c>
      <c r="Q16" s="155">
        <f t="shared" ref="Q16" si="8">+M16*D16/12*O16</f>
        <v>3437.2799999999997</v>
      </c>
    </row>
    <row r="17" spans="1:17" ht="18" x14ac:dyDescent="0.25">
      <c r="A17" s="156" t="s">
        <v>4</v>
      </c>
      <c r="B17" s="4"/>
      <c r="C17" s="42"/>
      <c r="D17" s="4"/>
      <c r="E17" s="42"/>
      <c r="F17" s="4"/>
      <c r="G17" s="43"/>
      <c r="H17" s="4"/>
      <c r="I17" s="57"/>
      <c r="J17" s="41"/>
      <c r="K17" s="115"/>
      <c r="L17" s="58"/>
      <c r="M17" s="59"/>
      <c r="N17" s="164"/>
      <c r="O17" s="170"/>
      <c r="Q17" s="155"/>
    </row>
    <row r="18" spans="1:17" ht="18" x14ac:dyDescent="0.25">
      <c r="A18" s="63" t="str">
        <f>+' VNR'!B12</f>
        <v>CXTR Reductor 60/80/100 MVA</v>
      </c>
      <c r="B18" s="4" t="s">
        <v>91</v>
      </c>
      <c r="C18" s="42">
        <f>+'CX cxj Año2'!C18</f>
        <v>4453.6182377634577</v>
      </c>
      <c r="D18" s="4">
        <f>+'CX cxj Año2'!D18</f>
        <v>600</v>
      </c>
      <c r="E18" s="42">
        <f t="shared" ref="E18" si="9">+C18/D18</f>
        <v>7.422697062939096</v>
      </c>
      <c r="F18" s="4">
        <f t="shared" si="1"/>
        <v>0.12962613523986735</v>
      </c>
      <c r="G18" s="43">
        <f t="shared" si="2"/>
        <v>6.1103619849499788E-2</v>
      </c>
      <c r="H18" s="4">
        <f t="shared" si="3"/>
        <v>0.23985947759322793</v>
      </c>
      <c r="I18" s="57">
        <f t="shared" si="4"/>
        <v>0.71257891804215323</v>
      </c>
      <c r="J18" s="41"/>
      <c r="K18" s="116">
        <f>+G18+F18+H18+I18</f>
        <v>1.1431681507247484</v>
      </c>
      <c r="L18" s="58"/>
      <c r="M18" s="147">
        <f t="shared" si="6"/>
        <v>0.74</v>
      </c>
      <c r="N18" s="164"/>
      <c r="O18" s="170">
        <v>12</v>
      </c>
      <c r="Q18" s="155">
        <f t="shared" ref="Q18" si="10">+M18*D18/12*O18</f>
        <v>444</v>
      </c>
    </row>
    <row r="19" spans="1:17" x14ac:dyDescent="0.2">
      <c r="A19" s="64" t="s">
        <v>5</v>
      </c>
      <c r="B19" s="4" t="s">
        <v>91</v>
      </c>
      <c r="C19" s="42"/>
      <c r="D19" s="4"/>
      <c r="E19" s="42"/>
      <c r="F19" s="4"/>
      <c r="G19" s="43"/>
      <c r="H19" s="4"/>
      <c r="I19" s="57"/>
      <c r="J19" s="41"/>
      <c r="K19" s="116"/>
      <c r="L19" s="58"/>
      <c r="M19" s="59"/>
      <c r="N19" s="164"/>
      <c r="O19" s="164"/>
      <c r="Q19" s="155"/>
    </row>
    <row r="20" spans="1:17" x14ac:dyDescent="0.2">
      <c r="A20" s="64" t="s">
        <v>6</v>
      </c>
      <c r="B20" s="4" t="s">
        <v>91</v>
      </c>
      <c r="C20" s="42"/>
      <c r="D20" s="4"/>
      <c r="E20" s="42"/>
      <c r="F20" s="4"/>
      <c r="G20" s="43"/>
      <c r="H20" s="4"/>
      <c r="I20" s="57"/>
      <c r="J20" s="41"/>
      <c r="K20" s="116"/>
      <c r="L20" s="58"/>
      <c r="M20" s="59"/>
      <c r="N20" s="164"/>
      <c r="O20" s="164"/>
      <c r="Q20" s="155"/>
    </row>
    <row r="21" spans="1:17" ht="18" x14ac:dyDescent="0.25">
      <c r="A21" s="64" t="s">
        <v>1049</v>
      </c>
      <c r="B21" s="1609" t="s">
        <v>91</v>
      </c>
      <c r="C21" s="42">
        <f>+'CX cxj Año2'!C21</f>
        <v>2522.2986042971866</v>
      </c>
      <c r="D21" s="4">
        <f>+'CX cxj Año2'!D21</f>
        <v>24</v>
      </c>
      <c r="E21" s="42">
        <f t="shared" ref="E21" si="11">+C21/D21</f>
        <v>105.09577517904944</v>
      </c>
      <c r="F21" s="4">
        <f t="shared" si="1"/>
        <v>1.8353381595643246</v>
      </c>
      <c r="G21" s="43">
        <f t="shared" si="2"/>
        <v>0.86514810450668977</v>
      </c>
      <c r="H21" s="4">
        <f t="shared" si="3"/>
        <v>3.3960994929410022</v>
      </c>
      <c r="I21" s="57">
        <f t="shared" si="4"/>
        <v>10.089194417188747</v>
      </c>
      <c r="J21" s="41"/>
      <c r="K21" s="116">
        <f>+G21+F21+H21+I21</f>
        <v>16.185780174200765</v>
      </c>
      <c r="L21" s="58"/>
      <c r="M21" s="147">
        <f t="shared" ref="M21" si="12">ROUND(+K21*$L$10,2)</f>
        <v>10.44</v>
      </c>
      <c r="N21" s="164"/>
      <c r="O21" s="170">
        <v>12</v>
      </c>
      <c r="Q21" s="155">
        <f t="shared" ref="Q21" si="13">+M21*D21/12*O21</f>
        <v>250.56</v>
      </c>
    </row>
    <row r="22" spans="1:17" ht="18" x14ac:dyDescent="0.25">
      <c r="A22" s="1171" t="s">
        <v>7</v>
      </c>
      <c r="B22" s="117" t="s">
        <v>10</v>
      </c>
      <c r="C22" s="42"/>
      <c r="D22" s="117"/>
      <c r="E22" s="42"/>
      <c r="F22" s="4"/>
      <c r="G22" s="43"/>
      <c r="H22" s="4"/>
      <c r="I22" s="57"/>
      <c r="J22" s="41"/>
      <c r="K22" s="116"/>
      <c r="L22" s="58"/>
      <c r="M22" s="59"/>
      <c r="N22" s="164"/>
      <c r="O22" s="170"/>
      <c r="P22" s="10"/>
      <c r="Q22" s="155"/>
    </row>
    <row r="23" spans="1:17" ht="18" x14ac:dyDescent="0.25">
      <c r="A23" s="1172" t="s">
        <v>115</v>
      </c>
      <c r="B23" s="4" t="str">
        <f>+[8]VNR2004!B21</f>
        <v>Miles B/./km</v>
      </c>
      <c r="C23" s="42">
        <f>+'CX cxj Año2'!C23</f>
        <v>10655.961662479996</v>
      </c>
      <c r="D23" s="4">
        <f>+'CX cxj Año2'!D23</f>
        <v>36.129999999999995</v>
      </c>
      <c r="E23" s="42">
        <f t="shared" ref="E23" si="14">+C23/D23</f>
        <v>294.93389599999995</v>
      </c>
      <c r="F23" s="4">
        <f t="shared" si="1"/>
        <v>5.150572731925414</v>
      </c>
      <c r="G23" s="43">
        <f t="shared" si="2"/>
        <v>2.4278949429171619</v>
      </c>
      <c r="H23" s="4">
        <f t="shared" si="3"/>
        <v>9.5305910532584885</v>
      </c>
      <c r="I23" s="57">
        <f t="shared" si="4"/>
        <v>28.313654015999994</v>
      </c>
      <c r="J23" s="41"/>
      <c r="K23" s="115">
        <f t="shared" ref="K23" si="15">+F23+G23+H23+I23</f>
        <v>45.422712744101062</v>
      </c>
      <c r="L23" s="58"/>
      <c r="M23" s="147">
        <f>ROUND(+K23*$L$10,2)</f>
        <v>29.29</v>
      </c>
      <c r="N23" s="164"/>
      <c r="O23" s="170">
        <v>12</v>
      </c>
      <c r="P23" s="10"/>
      <c r="Q23" s="155">
        <f t="shared" ref="Q23" si="16">+M23*D23/12*O23</f>
        <v>1058.2476999999999</v>
      </c>
    </row>
    <row r="24" spans="1:17" ht="18" x14ac:dyDescent="0.25">
      <c r="A24" s="1548" t="s">
        <v>1054</v>
      </c>
      <c r="B24" s="39" t="s">
        <v>116</v>
      </c>
      <c r="C24" s="4">
        <f>+'CX cxj Año2'!C24</f>
        <v>23578.236586629999</v>
      </c>
      <c r="D24" s="57">
        <f>+'CX cxj Año2'!D24</f>
        <v>33.969999999999992</v>
      </c>
      <c r="E24" s="42">
        <f t="shared" ref="E24" si="17">+C24/D24</f>
        <v>694.08997900000008</v>
      </c>
      <c r="F24" s="4">
        <f t="shared" si="1"/>
        <v>12.121227732129116</v>
      </c>
      <c r="G24" s="43">
        <f t="shared" si="2"/>
        <v>5.7137466150841467</v>
      </c>
      <c r="H24" s="4">
        <f t="shared" si="3"/>
        <v>22.429052183319662</v>
      </c>
      <c r="I24" s="57">
        <f t="shared" si="4"/>
        <v>66.632637984000013</v>
      </c>
      <c r="J24" s="41"/>
      <c r="K24" s="115">
        <f t="shared" ref="K24" si="18">+F24+G24+H24+I24</f>
        <v>106.89666451453294</v>
      </c>
      <c r="L24" s="61"/>
      <c r="M24" s="60">
        <f t="shared" ref="M24" si="19">ROUND(+K24*$L$10,2)</f>
        <v>68.92</v>
      </c>
      <c r="N24" s="165"/>
      <c r="O24" s="170">
        <v>12</v>
      </c>
      <c r="Q24" s="155">
        <f t="shared" ref="Q24" si="20">+M24*D24/12*O24</f>
        <v>2341.2123999999994</v>
      </c>
    </row>
    <row r="25" spans="1:17" x14ac:dyDescent="0.2">
      <c r="A25" s="51"/>
      <c r="B25" s="157"/>
      <c r="C25" s="15">
        <f>SUM(C12:C24)</f>
        <v>128449.27719048262</v>
      </c>
      <c r="D25" s="157"/>
      <c r="E25" s="157"/>
      <c r="F25" s="157"/>
      <c r="G25" s="158"/>
      <c r="H25" s="157"/>
      <c r="I25" s="157"/>
      <c r="K25" s="158"/>
      <c r="L25" s="5"/>
      <c r="M25" s="159"/>
      <c r="N25" s="159"/>
      <c r="O25" s="159"/>
      <c r="Q25" s="157"/>
    </row>
    <row r="26" spans="1:17" x14ac:dyDescent="0.2">
      <c r="A26" s="51"/>
      <c r="D26" s="15"/>
      <c r="E26" s="15"/>
      <c r="F26" s="15"/>
      <c r="G26" s="15"/>
      <c r="H26" s="15"/>
      <c r="I26" s="15"/>
      <c r="P26" t="s">
        <v>11</v>
      </c>
      <c r="Q26" s="15">
        <f>SUM(Q12:Q24)</f>
        <v>12756.900099999999</v>
      </c>
    </row>
    <row r="28" spans="1:17" x14ac:dyDescent="0.2">
      <c r="Q28" s="15"/>
    </row>
    <row r="30" spans="1:17" x14ac:dyDescent="0.2">
      <c r="Q30" s="15"/>
    </row>
  </sheetData>
  <mergeCells count="18">
    <mergeCell ref="A8:A9"/>
    <mergeCell ref="B8:B9"/>
    <mergeCell ref="C8:C9"/>
    <mergeCell ref="D8:D9"/>
    <mergeCell ref="E8:E9"/>
    <mergeCell ref="A1:K1"/>
    <mergeCell ref="A2:K2"/>
    <mergeCell ref="A3:D6"/>
    <mergeCell ref="E3:K3"/>
    <mergeCell ref="E5:K5"/>
    <mergeCell ref="L8:L9"/>
    <mergeCell ref="M8:M9"/>
    <mergeCell ref="Q8:Q9"/>
    <mergeCell ref="F8:F9"/>
    <mergeCell ref="G8:G9"/>
    <mergeCell ref="I8:I9"/>
    <mergeCell ref="K8:K9"/>
    <mergeCell ref="H8:H9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-0.249977111117893"/>
  </sheetPr>
  <dimension ref="A1:Q31"/>
  <sheetViews>
    <sheetView topLeftCell="A5" zoomScale="85" zoomScaleNormal="85" workbookViewId="0">
      <selection activeCell="L33" sqref="L33"/>
    </sheetView>
  </sheetViews>
  <sheetFormatPr baseColWidth="10" defaultColWidth="11.42578125" defaultRowHeight="12.75" x14ac:dyDescent="0.2"/>
  <cols>
    <col min="1" max="1" width="38.42578125" customWidth="1"/>
    <col min="2" max="2" width="17.7109375" customWidth="1"/>
    <col min="3" max="3" width="14.42578125" customWidth="1"/>
    <col min="4" max="4" width="13.42578125" customWidth="1"/>
    <col min="5" max="5" width="11.7109375" customWidth="1"/>
    <col min="7" max="7" width="12.7109375" customWidth="1"/>
    <col min="8" max="8" width="11.28515625" customWidth="1"/>
    <col min="9" max="9" width="17.5703125" customWidth="1"/>
    <col min="10" max="10" width="11.7109375" customWidth="1"/>
    <col min="11" max="11" width="23.28515625" customWidth="1"/>
    <col min="17" max="17" width="14" customWidth="1"/>
  </cols>
  <sheetData>
    <row r="1" spans="1:17" ht="18" x14ac:dyDescent="0.25">
      <c r="A1" s="1696" t="s">
        <v>12</v>
      </c>
      <c r="B1" s="1696"/>
      <c r="C1" s="1696"/>
      <c r="D1" s="1696"/>
      <c r="E1" s="1696"/>
      <c r="F1" s="1696"/>
      <c r="G1" s="1696"/>
      <c r="H1" s="1696"/>
      <c r="I1" s="1696"/>
      <c r="J1" s="1696"/>
      <c r="K1" s="1696"/>
    </row>
    <row r="2" spans="1:17" ht="39.6" customHeight="1" thickBot="1" x14ac:dyDescent="0.25">
      <c r="A2" s="1697" t="s">
        <v>22</v>
      </c>
      <c r="B2" s="1697"/>
      <c r="C2" s="1697"/>
      <c r="D2" s="1697"/>
      <c r="E2" s="1697"/>
      <c r="F2" s="1697"/>
      <c r="G2" s="1697"/>
      <c r="H2" s="1697"/>
      <c r="I2" s="1697"/>
      <c r="J2" s="1697"/>
      <c r="K2" s="1697"/>
    </row>
    <row r="3" spans="1:17" ht="27.6" customHeight="1" x14ac:dyDescent="0.2">
      <c r="A3" s="1698" t="s">
        <v>24</v>
      </c>
      <c r="B3" s="1699"/>
      <c r="C3" s="1699"/>
      <c r="D3" s="1699"/>
      <c r="E3" s="1706" t="s">
        <v>74</v>
      </c>
      <c r="F3" s="1707"/>
      <c r="G3" s="1707"/>
      <c r="H3" s="1707"/>
      <c r="I3" s="1707"/>
      <c r="J3" s="1707"/>
      <c r="K3" s="1708"/>
    </row>
    <row r="4" spans="1:17" ht="27.6" customHeight="1" thickBot="1" x14ac:dyDescent="0.25">
      <c r="A4" s="1700"/>
      <c r="B4" s="1701"/>
      <c r="C4" s="1701"/>
      <c r="D4" s="1701"/>
      <c r="E4" s="3"/>
      <c r="K4" s="8"/>
    </row>
    <row r="5" spans="1:17" ht="27.6" customHeight="1" x14ac:dyDescent="0.2">
      <c r="A5" s="1700"/>
      <c r="B5" s="1701"/>
      <c r="C5" s="1701"/>
      <c r="D5" s="1701"/>
      <c r="E5" s="1706" t="s">
        <v>75</v>
      </c>
      <c r="F5" s="1707"/>
      <c r="G5" s="1707"/>
      <c r="H5" s="1707"/>
      <c r="I5" s="1707"/>
      <c r="J5" s="1707"/>
      <c r="K5" s="1708"/>
    </row>
    <row r="6" spans="1:17" ht="27.6" customHeight="1" thickBot="1" x14ac:dyDescent="0.25">
      <c r="A6" s="1702"/>
      <c r="B6" s="1703"/>
      <c r="C6" s="1703"/>
      <c r="D6" s="1703"/>
      <c r="E6" s="9"/>
      <c r="F6" s="6"/>
      <c r="G6" s="6"/>
      <c r="H6" s="6"/>
      <c r="I6" s="6"/>
      <c r="J6" s="6"/>
      <c r="K6" s="7"/>
    </row>
    <row r="7" spans="1:17" ht="18" customHeight="1" thickBot="1" x14ac:dyDescent="0.25">
      <c r="A7" s="37"/>
      <c r="B7" s="37"/>
      <c r="C7" s="37"/>
      <c r="D7" s="37"/>
      <c r="H7" s="6"/>
    </row>
    <row r="8" spans="1:17" ht="26.65" customHeight="1" x14ac:dyDescent="0.2">
      <c r="A8" s="1695" t="s">
        <v>1046</v>
      </c>
      <c r="B8" s="1695" t="s">
        <v>16</v>
      </c>
      <c r="C8" s="1709" t="s">
        <v>1</v>
      </c>
      <c r="D8" s="1709" t="s">
        <v>136</v>
      </c>
      <c r="E8" s="1704" t="s">
        <v>81</v>
      </c>
      <c r="F8" s="1705" t="s">
        <v>112</v>
      </c>
      <c r="G8" s="1705" t="s">
        <v>113</v>
      </c>
      <c r="H8" s="1705" t="s">
        <v>114</v>
      </c>
      <c r="I8" s="1705" t="s">
        <v>72</v>
      </c>
      <c r="J8" s="52"/>
      <c r="K8" s="1695" t="s">
        <v>73</v>
      </c>
      <c r="L8" s="1694" t="s">
        <v>70</v>
      </c>
      <c r="M8" s="1695" t="s">
        <v>111</v>
      </c>
      <c r="N8" s="166"/>
      <c r="O8" s="160" t="s">
        <v>144</v>
      </c>
      <c r="Q8" s="1692" t="s">
        <v>138</v>
      </c>
    </row>
    <row r="9" spans="1:17" ht="16.899999999999999" customHeight="1" x14ac:dyDescent="0.2">
      <c r="A9" s="1695"/>
      <c r="B9" s="1695"/>
      <c r="C9" s="1710"/>
      <c r="D9" s="1710"/>
      <c r="E9" s="1704"/>
      <c r="F9" s="1705"/>
      <c r="G9" s="1705"/>
      <c r="H9" s="1705"/>
      <c r="I9" s="1705"/>
      <c r="J9" s="53"/>
      <c r="K9" s="1695"/>
      <c r="L9" s="1694"/>
      <c r="M9" s="1695"/>
      <c r="N9" s="166"/>
      <c r="O9" s="160"/>
      <c r="Q9" s="1693"/>
    </row>
    <row r="10" spans="1:17" ht="18.75" customHeight="1" thickBot="1" x14ac:dyDescent="0.3">
      <c r="A10" s="56" t="s">
        <v>14</v>
      </c>
      <c r="B10" s="54"/>
      <c r="C10" s="151"/>
      <c r="D10" s="54"/>
      <c r="E10" s="152"/>
      <c r="F10" s="72">
        <f>+'CX cxj Año3'!F10</f>
        <v>1.7463481823484322E-2</v>
      </c>
      <c r="G10" s="72">
        <f>+'CX cxj Año3'!G10</f>
        <v>8.2319969859183714E-3</v>
      </c>
      <c r="H10" s="969">
        <f>+'CX cxj Año3'!H10</f>
        <v>3.2314329354868353E-2</v>
      </c>
      <c r="I10" s="72">
        <f>+'CX cxj Año3'!I10</f>
        <v>9.6000000000000002E-2</v>
      </c>
      <c r="J10" s="73"/>
      <c r="K10" s="55"/>
      <c r="L10" s="114">
        <f>+'CX cxj Año1 '!L10</f>
        <v>0.64476329472177196</v>
      </c>
      <c r="M10" s="55"/>
      <c r="N10" s="167"/>
      <c r="O10" s="161"/>
      <c r="Q10" s="154"/>
    </row>
    <row r="11" spans="1:17" x14ac:dyDescent="0.2">
      <c r="A11" s="1169" t="s">
        <v>3</v>
      </c>
      <c r="B11" s="892"/>
      <c r="C11" s="1165"/>
      <c r="D11" s="892"/>
      <c r="E11" s="1165"/>
      <c r="F11" s="1166"/>
      <c r="G11" s="1167"/>
      <c r="H11" s="1166"/>
      <c r="I11" s="1168"/>
      <c r="J11" s="40"/>
      <c r="K11" s="893"/>
      <c r="L11" s="1166"/>
      <c r="M11" s="1168"/>
      <c r="N11" s="163"/>
      <c r="Q11" s="1459"/>
    </row>
    <row r="12" spans="1:17" ht="18" x14ac:dyDescent="0.25">
      <c r="A12" s="1823" t="s">
        <v>82</v>
      </c>
      <c r="B12" s="4" t="str">
        <f>+[8]VNR2004!B8</f>
        <v>Miles B/./Salida</v>
      </c>
      <c r="C12" s="42">
        <f>+'CX cxj Año3'!C12</f>
        <v>9153.9769634274617</v>
      </c>
      <c r="D12" s="4">
        <f>+' VNR'!D5+' VNR'!D27</f>
        <v>6</v>
      </c>
      <c r="E12" s="42">
        <f>+C12/D12</f>
        <v>1525.6628272379103</v>
      </c>
      <c r="F12" s="4">
        <f>$E12*$F$10</f>
        <v>26.643385052234947</v>
      </c>
      <c r="G12" s="43">
        <f>+$E12*$G$10</f>
        <v>12.559251795350178</v>
      </c>
      <c r="H12" s="4">
        <f>$E12*$H$10</f>
        <v>49.300771083845447</v>
      </c>
      <c r="I12" s="57">
        <f>$E12*$I$10</f>
        <v>146.4636314148394</v>
      </c>
      <c r="J12" s="41"/>
      <c r="K12" s="115">
        <f>+F12+G12+H12+I12</f>
        <v>234.96703934626998</v>
      </c>
      <c r="L12" s="58"/>
      <c r="M12" s="147">
        <f>ROUND(+K12*$L$10,2)</f>
        <v>151.5</v>
      </c>
      <c r="N12" s="164"/>
      <c r="O12" s="170">
        <v>12</v>
      </c>
      <c r="P12" s="62"/>
      <c r="Q12" s="155">
        <f>+M12*D12/12*O12</f>
        <v>909</v>
      </c>
    </row>
    <row r="13" spans="1:17" ht="18" x14ac:dyDescent="0.25">
      <c r="A13" s="1170" t="s">
        <v>83</v>
      </c>
      <c r="B13" s="4" t="str">
        <f>+[8]VNR2004!B9</f>
        <v>Miles B/./Salida</v>
      </c>
      <c r="C13" s="42">
        <f>+'CX cxj Año3'!C13</f>
        <v>33763.579456221967</v>
      </c>
      <c r="D13" s="4">
        <f>+' VNR'!D6</f>
        <v>14</v>
      </c>
      <c r="E13" s="42">
        <f>+C13/D13</f>
        <v>2411.6842468729978</v>
      </c>
      <c r="F13" s="4">
        <f>$E13*$F$10</f>
        <v>42.116404009250076</v>
      </c>
      <c r="G13" s="43">
        <f t="shared" ref="G13:G24" si="0">+$E13*$G$10</f>
        <v>19.852977451245337</v>
      </c>
      <c r="H13" s="4">
        <f t="shared" ref="H13:H24" si="1">$E13*$H$10</f>
        <v>77.931959053401684</v>
      </c>
      <c r="I13" s="57">
        <f t="shared" ref="I13:I24" si="2">$E13*$I$10</f>
        <v>231.52168769980779</v>
      </c>
      <c r="J13" s="41"/>
      <c r="K13" s="115">
        <f t="shared" ref="K13:K15" si="3">+F13+G13+H13+I13</f>
        <v>371.42302821370487</v>
      </c>
      <c r="L13" s="58"/>
      <c r="M13" s="147">
        <f t="shared" ref="M13:M18" si="4">ROUND(+K13*$L$10,2)</f>
        <v>239.48</v>
      </c>
      <c r="N13" s="164"/>
      <c r="O13" s="170">
        <v>12</v>
      </c>
      <c r="Q13" s="155">
        <f t="shared" ref="Q13:Q15" si="5">+M13*D13/12*O13</f>
        <v>3352.72</v>
      </c>
    </row>
    <row r="14" spans="1:17" ht="18" x14ac:dyDescent="0.25">
      <c r="A14" s="1170" t="s">
        <v>84</v>
      </c>
      <c r="B14" s="4" t="str">
        <f>+[8]VNR2004!B10</f>
        <v>Miles B/./Salida</v>
      </c>
      <c r="C14" s="42">
        <f>+'CX cxj Año3'!C14</f>
        <v>1313.6501315770911</v>
      </c>
      <c r="D14" s="4">
        <f>+' VNR'!D7</f>
        <v>1</v>
      </c>
      <c r="E14" s="42">
        <f>+C14/D14</f>
        <v>1313.6501315770911</v>
      </c>
      <c r="F14" s="4">
        <f t="shared" ref="F14" si="6">$E14*$F$10</f>
        <v>22.940905195214317</v>
      </c>
      <c r="G14" s="43">
        <f t="shared" si="0"/>
        <v>10.813963923693885</v>
      </c>
      <c r="H14" s="4">
        <f t="shared" si="1"/>
        <v>42.449723008848267</v>
      </c>
      <c r="I14" s="57">
        <f t="shared" si="2"/>
        <v>126.11041263140075</v>
      </c>
      <c r="J14" s="41"/>
      <c r="K14" s="115">
        <f t="shared" si="3"/>
        <v>202.3150047591572</v>
      </c>
      <c r="L14" s="58"/>
      <c r="M14" s="147">
        <f t="shared" si="4"/>
        <v>130.44999999999999</v>
      </c>
      <c r="N14" s="164"/>
      <c r="O14" s="170">
        <v>12</v>
      </c>
      <c r="Q14" s="155">
        <f t="shared" si="5"/>
        <v>130.44999999999999</v>
      </c>
    </row>
    <row r="15" spans="1:17" ht="18" x14ac:dyDescent="0.25">
      <c r="A15" s="1170" t="s">
        <v>85</v>
      </c>
      <c r="B15" s="4" t="str">
        <f>+[8]VNR2004!B11</f>
        <v>Miles B/./Salida</v>
      </c>
      <c r="C15" s="42">
        <f>+'CX cxj Año3'!C15</f>
        <v>8393.2001777465612</v>
      </c>
      <c r="D15" s="4">
        <f>+' VNR'!D8</f>
        <v>3</v>
      </c>
      <c r="E15" s="42">
        <f>+C15/D15</f>
        <v>2797.7333925821872</v>
      </c>
      <c r="F15" s="4">
        <f>$E15*$F$10</f>
        <v>48.858166248314156</v>
      </c>
      <c r="G15" s="43">
        <f t="shared" si="0"/>
        <v>23.030932855139746</v>
      </c>
      <c r="H15" s="4">
        <f t="shared" si="1"/>
        <v>90.406878295013996</v>
      </c>
      <c r="I15" s="57">
        <f t="shared" si="2"/>
        <v>268.58240568789</v>
      </c>
      <c r="J15" s="41"/>
      <c r="K15" s="115">
        <f t="shared" si="3"/>
        <v>430.87838308635787</v>
      </c>
      <c r="L15" s="58"/>
      <c r="M15" s="147">
        <f t="shared" si="4"/>
        <v>277.81</v>
      </c>
      <c r="N15" s="164"/>
      <c r="O15" s="170">
        <v>12</v>
      </c>
      <c r="Q15" s="155">
        <f t="shared" si="5"/>
        <v>833.43000000000006</v>
      </c>
    </row>
    <row r="16" spans="1:17" ht="18" x14ac:dyDescent="0.25">
      <c r="A16" s="1822" t="s">
        <v>86</v>
      </c>
      <c r="B16" s="39" t="s">
        <v>64</v>
      </c>
      <c r="C16" s="42">
        <f>+' VNR'!C9+' VNR'!C31+' VNR'!L31+' VNR'!R31</f>
        <v>37179.283370338897</v>
      </c>
      <c r="D16" s="4">
        <f>+' VNR'!D9+' VNR'!D31+' VNR'!M31+' VNR'!S31</f>
        <v>12</v>
      </c>
      <c r="E16" s="42">
        <f>+C16/D16</f>
        <v>3098.2736141949081</v>
      </c>
      <c r="F16" s="4">
        <f>$E16*$F$10</f>
        <v>54.106644945673857</v>
      </c>
      <c r="G16" s="43">
        <f>+$E16*$G$10</f>
        <v>25.504979053602902</v>
      </c>
      <c r="H16" s="4">
        <f>$E16*$H$10</f>
        <v>100.11863400059258</v>
      </c>
      <c r="I16" s="57">
        <f>$E16*$I$10</f>
        <v>297.43426696271121</v>
      </c>
      <c r="J16" s="41"/>
      <c r="K16" s="115">
        <f>+F16+G16+H16+I16</f>
        <v>477.16452496258057</v>
      </c>
      <c r="L16" s="58"/>
      <c r="M16" s="147">
        <f>ROUND(+K16*$L$10,2)</f>
        <v>307.66000000000003</v>
      </c>
      <c r="N16" s="164"/>
      <c r="O16" s="170">
        <v>12</v>
      </c>
      <c r="Q16" s="155">
        <f t="shared" ref="Q16" si="7">+M16*D16/12*O16</f>
        <v>3691.92</v>
      </c>
    </row>
    <row r="17" spans="1:17" ht="18" x14ac:dyDescent="0.25">
      <c r="A17" s="156" t="s">
        <v>4</v>
      </c>
      <c r="B17" s="4"/>
      <c r="C17" s="42"/>
      <c r="D17" s="4"/>
      <c r="E17" s="42"/>
      <c r="F17" s="4"/>
      <c r="G17" s="43"/>
      <c r="H17" s="4"/>
      <c r="I17" s="57"/>
      <c r="J17" s="41"/>
      <c r="K17" s="115"/>
      <c r="L17" s="58"/>
      <c r="M17" s="59"/>
      <c r="N17" s="164"/>
      <c r="O17" s="170"/>
      <c r="Q17" s="155"/>
    </row>
    <row r="18" spans="1:17" ht="18" x14ac:dyDescent="0.25">
      <c r="A18" s="63" t="str">
        <f>+' VNR'!B12</f>
        <v>CXTR Reductor 60/80/100 MVA</v>
      </c>
      <c r="B18" s="4" t="s">
        <v>91</v>
      </c>
      <c r="C18" s="42">
        <f>+'CX cxj Año3'!C18</f>
        <v>4453.6182377634577</v>
      </c>
      <c r="D18" s="4">
        <f>+'CX cxj Año3'!D18</f>
        <v>600</v>
      </c>
      <c r="E18" s="42">
        <f>+C18/D18</f>
        <v>7.422697062939096</v>
      </c>
      <c r="F18" s="4">
        <f>$E18*$F$10</f>
        <v>0.12962613523986735</v>
      </c>
      <c r="G18" s="43">
        <f>+$E18*$G$10</f>
        <v>6.1103619849499788E-2</v>
      </c>
      <c r="H18" s="4">
        <f t="shared" si="1"/>
        <v>0.23985947759322793</v>
      </c>
      <c r="I18" s="57">
        <f t="shared" si="2"/>
        <v>0.71257891804215323</v>
      </c>
      <c r="J18" s="41"/>
      <c r="K18" s="116">
        <f>+G18+F18+H18+I18</f>
        <v>1.1431681507247484</v>
      </c>
      <c r="L18" s="58"/>
      <c r="M18" s="147">
        <f t="shared" si="4"/>
        <v>0.74</v>
      </c>
      <c r="N18" s="164"/>
      <c r="O18" s="170">
        <v>12</v>
      </c>
      <c r="Q18" s="155">
        <f t="shared" ref="Q18" si="8">+M18*D18/12*O18</f>
        <v>444</v>
      </c>
    </row>
    <row r="19" spans="1:17" x14ac:dyDescent="0.2">
      <c r="A19" s="64" t="s">
        <v>5</v>
      </c>
      <c r="B19" s="4" t="s">
        <v>91</v>
      </c>
      <c r="C19" s="42"/>
      <c r="D19" s="4"/>
      <c r="E19" s="42"/>
      <c r="F19" s="4"/>
      <c r="G19" s="43"/>
      <c r="H19" s="4"/>
      <c r="I19" s="57"/>
      <c r="J19" s="41"/>
      <c r="K19" s="116"/>
      <c r="L19" s="58"/>
      <c r="M19" s="59"/>
      <c r="N19" s="164"/>
      <c r="O19" s="164"/>
      <c r="Q19" s="155"/>
    </row>
    <row r="20" spans="1:17" x14ac:dyDescent="0.2">
      <c r="A20" s="64" t="s">
        <v>6</v>
      </c>
      <c r="B20" s="4" t="s">
        <v>91</v>
      </c>
      <c r="C20" s="42"/>
      <c r="D20" s="4"/>
      <c r="E20" s="42"/>
      <c r="F20" s="4"/>
      <c r="G20" s="43"/>
      <c r="H20" s="4"/>
      <c r="I20" s="57"/>
      <c r="J20" s="41"/>
      <c r="K20" s="116"/>
      <c r="L20" s="58"/>
      <c r="M20" s="59"/>
      <c r="N20" s="164"/>
      <c r="O20" s="164"/>
      <c r="Q20" s="155"/>
    </row>
    <row r="21" spans="1:17" ht="16.5" customHeight="1" x14ac:dyDescent="0.25">
      <c r="A21" s="64" t="s">
        <v>1049</v>
      </c>
      <c r="B21" s="1609" t="s">
        <v>91</v>
      </c>
      <c r="C21" s="42">
        <f>+'CX cxj Año3'!C21</f>
        <v>2522.2986042971866</v>
      </c>
      <c r="D21" s="4">
        <f>+'CX cxj Año3'!D21</f>
        <v>24</v>
      </c>
      <c r="E21" s="42">
        <f t="shared" ref="E21" si="9">+C21/D21</f>
        <v>105.09577517904944</v>
      </c>
      <c r="F21" s="4">
        <f t="shared" ref="F21" si="10">$E21*$F$10</f>
        <v>1.8353381595643246</v>
      </c>
      <c r="G21" s="43">
        <f t="shared" ref="G21" si="11">+$E21*$G$10</f>
        <v>0.86514810450668977</v>
      </c>
      <c r="H21" s="4">
        <f t="shared" si="1"/>
        <v>3.3960994929410022</v>
      </c>
      <c r="I21" s="57">
        <f t="shared" si="2"/>
        <v>10.089194417188747</v>
      </c>
      <c r="J21" s="41"/>
      <c r="K21" s="116">
        <f>+G21+F21+H21+I21</f>
        <v>16.185780174200765</v>
      </c>
      <c r="L21" s="58"/>
      <c r="M21" s="147">
        <f t="shared" ref="M21" si="12">ROUND(+K21*$L$10,2)</f>
        <v>10.44</v>
      </c>
      <c r="N21" s="164"/>
      <c r="O21" s="170">
        <v>12</v>
      </c>
      <c r="Q21" s="155">
        <f t="shared" ref="Q21" si="13">+M21*D21/12*O21</f>
        <v>250.56</v>
      </c>
    </row>
    <row r="22" spans="1:17" ht="18" x14ac:dyDescent="0.25">
      <c r="A22" s="1171" t="s">
        <v>7</v>
      </c>
      <c r="B22" s="117" t="s">
        <v>10</v>
      </c>
      <c r="C22" s="42"/>
      <c r="D22" s="117"/>
      <c r="E22" s="42"/>
      <c r="F22" s="4"/>
      <c r="G22" s="43"/>
      <c r="H22" s="4"/>
      <c r="I22" s="57"/>
      <c r="J22" s="41"/>
      <c r="K22" s="116"/>
      <c r="L22" s="58"/>
      <c r="M22" s="59"/>
      <c r="N22" s="164"/>
      <c r="O22" s="170"/>
      <c r="P22" s="10"/>
      <c r="Q22" s="155"/>
    </row>
    <row r="23" spans="1:17" ht="18" x14ac:dyDescent="0.25">
      <c r="A23" s="1172" t="s">
        <v>115</v>
      </c>
      <c r="B23" s="4" t="str">
        <f>+[8]VNR2004!B21</f>
        <v>Miles B/./km</v>
      </c>
      <c r="C23" s="42">
        <f>+'CX cxj Año3'!C23</f>
        <v>10655.961662479996</v>
      </c>
      <c r="D23" s="4">
        <f>+'CX cxj Año3'!D23</f>
        <v>36.129999999999995</v>
      </c>
      <c r="E23" s="42">
        <f t="shared" ref="E23" si="14">+C23/D23</f>
        <v>294.93389599999995</v>
      </c>
      <c r="F23" s="4">
        <f>$E23*$F$10</f>
        <v>5.150572731925414</v>
      </c>
      <c r="G23" s="43">
        <f t="shared" si="0"/>
        <v>2.4278949429171619</v>
      </c>
      <c r="H23" s="4">
        <f t="shared" si="1"/>
        <v>9.5305910532584885</v>
      </c>
      <c r="I23" s="57">
        <f t="shared" si="2"/>
        <v>28.313654015999994</v>
      </c>
      <c r="J23" s="41"/>
      <c r="K23" s="115">
        <f t="shared" ref="K23:K24" si="15">+F23+G23+H23+I23</f>
        <v>45.422712744101062</v>
      </c>
      <c r="L23" s="58"/>
      <c r="M23" s="147">
        <f>ROUND(+K23*$L$10,2)</f>
        <v>29.29</v>
      </c>
      <c r="N23" s="164"/>
      <c r="O23" s="170">
        <v>12</v>
      </c>
      <c r="P23" s="10"/>
      <c r="Q23" s="155">
        <f t="shared" ref="Q23:Q24" si="16">+M23*D23/12*O23</f>
        <v>1058.2476999999999</v>
      </c>
    </row>
    <row r="24" spans="1:17" ht="18" x14ac:dyDescent="0.25">
      <c r="A24" s="1548" t="s">
        <v>1054</v>
      </c>
      <c r="B24" s="39" t="s">
        <v>116</v>
      </c>
      <c r="C24" s="4">
        <f>+'CX cxj Año3'!C24</f>
        <v>23578.236586629999</v>
      </c>
      <c r="D24" s="57">
        <f>+'CX cxj Año3'!D24</f>
        <v>33.969999999999992</v>
      </c>
      <c r="E24" s="42">
        <f t="shared" ref="E24" si="17">+C24/D24</f>
        <v>694.08997900000008</v>
      </c>
      <c r="F24" s="4">
        <f t="shared" ref="F24" si="18">$E24*$F$10</f>
        <v>12.121227732129116</v>
      </c>
      <c r="G24" s="43">
        <f t="shared" si="0"/>
        <v>5.7137466150841467</v>
      </c>
      <c r="H24" s="4">
        <f t="shared" si="1"/>
        <v>22.429052183319662</v>
      </c>
      <c r="I24" s="57">
        <f t="shared" si="2"/>
        <v>66.632637984000013</v>
      </c>
      <c r="J24" s="41"/>
      <c r="K24" s="115">
        <f t="shared" si="15"/>
        <v>106.89666451453294</v>
      </c>
      <c r="L24" s="61"/>
      <c r="M24" s="60">
        <f t="shared" ref="M24" si="19">ROUND(+K24*$L$10,2)</f>
        <v>68.92</v>
      </c>
      <c r="N24" s="165"/>
      <c r="O24" s="170">
        <v>12</v>
      </c>
      <c r="Q24" s="155">
        <f t="shared" si="16"/>
        <v>2341.2123999999994</v>
      </c>
    </row>
    <row r="25" spans="1:17" x14ac:dyDescent="0.2">
      <c r="A25" s="51"/>
      <c r="B25" s="157"/>
      <c r="C25" s="157">
        <f>SUM(C12:C24)</f>
        <v>131013.80519048263</v>
      </c>
      <c r="D25" s="157"/>
      <c r="E25" s="157"/>
      <c r="F25" s="157"/>
      <c r="G25" s="158"/>
      <c r="H25" s="157"/>
      <c r="I25" s="157"/>
      <c r="K25" s="158"/>
      <c r="L25" s="5"/>
      <c r="M25" s="159"/>
      <c r="N25" s="159"/>
      <c r="O25" s="159"/>
      <c r="Q25" s="157"/>
    </row>
    <row r="26" spans="1:17" x14ac:dyDescent="0.2">
      <c r="A26" s="51"/>
      <c r="C26" s="15"/>
      <c r="P26" t="s">
        <v>11</v>
      </c>
      <c r="Q26" s="15">
        <f>SUM(Q12:Q24)</f>
        <v>13011.540099999998</v>
      </c>
    </row>
    <row r="30" spans="1:17" x14ac:dyDescent="0.2">
      <c r="Q30" s="15"/>
    </row>
    <row r="31" spans="1:17" x14ac:dyDescent="0.2">
      <c r="Q31" s="15"/>
    </row>
  </sheetData>
  <mergeCells count="18">
    <mergeCell ref="A8:A9"/>
    <mergeCell ref="B8:B9"/>
    <mergeCell ref="C8:C9"/>
    <mergeCell ref="D8:D9"/>
    <mergeCell ref="E8:E9"/>
    <mergeCell ref="A1:K1"/>
    <mergeCell ref="A2:K2"/>
    <mergeCell ref="A3:D6"/>
    <mergeCell ref="E3:K3"/>
    <mergeCell ref="E5:K5"/>
    <mergeCell ref="L8:L9"/>
    <mergeCell ref="M8:M9"/>
    <mergeCell ref="Q8:Q9"/>
    <mergeCell ref="F8:F9"/>
    <mergeCell ref="G8:G9"/>
    <mergeCell ref="I8:I9"/>
    <mergeCell ref="K8:K9"/>
    <mergeCell ref="H8:H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-0.249977111117893"/>
  </sheetPr>
  <dimension ref="B1:M49"/>
  <sheetViews>
    <sheetView showGridLines="0" topLeftCell="A19" zoomScale="90" zoomScaleNormal="90" workbookViewId="0">
      <selection activeCell="F52" sqref="F52"/>
    </sheetView>
  </sheetViews>
  <sheetFormatPr baseColWidth="10" defaultColWidth="11.42578125" defaultRowHeight="12.75" x14ac:dyDescent="0.2"/>
  <cols>
    <col min="1" max="1" width="3.7109375" style="886" customWidth="1"/>
    <col min="2" max="2" width="47.28515625" style="886" customWidth="1"/>
    <col min="3" max="3" width="20.85546875" style="886" customWidth="1"/>
    <col min="4" max="4" width="9.28515625" style="886" customWidth="1"/>
    <col min="5" max="8" width="12.7109375" style="886" customWidth="1"/>
    <col min="9" max="9" width="14.7109375" style="886" customWidth="1"/>
    <col min="10" max="10" width="16" style="886" customWidth="1"/>
    <col min="11" max="11" width="11.7109375" style="886" customWidth="1"/>
    <col min="12" max="12" width="9" style="886" customWidth="1"/>
    <col min="13" max="13" width="61.28515625" style="886" customWidth="1"/>
    <col min="14" max="14" width="16.7109375" style="886" customWidth="1"/>
    <col min="15" max="15" width="4.7109375" style="886" customWidth="1"/>
    <col min="16" max="16384" width="11.42578125" style="886"/>
  </cols>
  <sheetData>
    <row r="1" spans="2:10" ht="18" x14ac:dyDescent="0.25">
      <c r="B1" s="1712" t="s">
        <v>12</v>
      </c>
      <c r="C1" s="1712"/>
      <c r="D1" s="1712"/>
      <c r="E1" s="1712"/>
      <c r="F1" s="1712"/>
      <c r="G1" s="1712"/>
      <c r="H1" s="1712"/>
      <c r="I1" s="1712"/>
      <c r="J1" s="1712"/>
    </row>
    <row r="2" spans="2:10" ht="18" x14ac:dyDescent="0.25">
      <c r="B2" s="1712" t="s">
        <v>22</v>
      </c>
      <c r="C2" s="1712"/>
      <c r="D2" s="1712"/>
      <c r="E2" s="1712"/>
      <c r="F2" s="1712"/>
      <c r="G2" s="1712"/>
      <c r="H2" s="1712"/>
      <c r="I2" s="1712"/>
      <c r="J2" s="1712"/>
    </row>
    <row r="3" spans="2:10" ht="18" x14ac:dyDescent="0.25">
      <c r="B3" s="1712" t="s">
        <v>615</v>
      </c>
      <c r="C3" s="1712"/>
      <c r="D3" s="1712"/>
      <c r="E3" s="1712"/>
      <c r="F3" s="1712"/>
      <c r="G3" s="1712"/>
      <c r="H3" s="1712"/>
      <c r="I3" s="1712"/>
      <c r="J3" s="1712"/>
    </row>
    <row r="4" spans="2:10" ht="18" x14ac:dyDescent="0.25">
      <c r="B4" s="1712" t="s">
        <v>69</v>
      </c>
      <c r="C4" s="1712"/>
      <c r="D4" s="1712"/>
      <c r="E4" s="1712"/>
      <c r="F4" s="1712"/>
      <c r="G4" s="1712"/>
      <c r="H4" s="1712"/>
      <c r="I4" s="1712"/>
      <c r="J4" s="1712"/>
    </row>
    <row r="5" spans="2:10" ht="18.75" thickBot="1" x14ac:dyDescent="0.3">
      <c r="B5" s="887"/>
      <c r="C5" s="887"/>
      <c r="D5" s="887"/>
      <c r="E5" s="887"/>
      <c r="F5" s="887"/>
      <c r="G5" s="887"/>
      <c r="H5" s="887"/>
      <c r="I5" s="887"/>
      <c r="J5" s="887"/>
    </row>
    <row r="6" spans="2:10" ht="18.75" thickBot="1" x14ac:dyDescent="0.3">
      <c r="B6" s="888" t="s">
        <v>135</v>
      </c>
      <c r="C6" s="970">
        <f>'IPCT VNR_FA'!C27</f>
        <v>0.64476329472177196</v>
      </c>
      <c r="D6" s="889"/>
      <c r="E6" s="889"/>
      <c r="F6" s="889"/>
      <c r="G6" s="889"/>
      <c r="H6" s="889"/>
      <c r="I6" s="887"/>
      <c r="J6" s="887"/>
    </row>
    <row r="7" spans="2:10" x14ac:dyDescent="0.2">
      <c r="B7" s="890"/>
      <c r="C7" s="890"/>
    </row>
    <row r="8" spans="2:10" ht="26.65" customHeight="1" x14ac:dyDescent="0.2">
      <c r="B8" s="1713" t="s">
        <v>23</v>
      </c>
      <c r="C8" s="1713" t="s">
        <v>16</v>
      </c>
      <c r="D8" s="1714" t="s">
        <v>11</v>
      </c>
      <c r="E8" s="1716" t="s">
        <v>616</v>
      </c>
      <c r="F8" s="1716"/>
      <c r="G8" s="1716"/>
      <c r="H8" s="1716"/>
    </row>
    <row r="9" spans="2:10" x14ac:dyDescent="0.2">
      <c r="B9" s="1713"/>
      <c r="C9" s="1713"/>
      <c r="D9" s="1715"/>
      <c r="E9" s="891" t="s">
        <v>617</v>
      </c>
      <c r="F9" s="891" t="s">
        <v>618</v>
      </c>
      <c r="G9" s="891" t="s">
        <v>619</v>
      </c>
      <c r="H9" s="891" t="s">
        <v>620</v>
      </c>
    </row>
    <row r="10" spans="2:10" ht="12.75" customHeight="1" x14ac:dyDescent="0.2">
      <c r="B10" s="892"/>
      <c r="C10" s="893"/>
      <c r="D10" s="894"/>
      <c r="E10" s="891" t="s">
        <v>935</v>
      </c>
      <c r="F10" s="891" t="s">
        <v>936</v>
      </c>
      <c r="G10" s="891" t="s">
        <v>937</v>
      </c>
      <c r="H10" s="891" t="s">
        <v>938</v>
      </c>
    </row>
    <row r="11" spans="2:10" ht="12.75" customHeight="1" x14ac:dyDescent="0.2">
      <c r="B11" s="895" t="str">
        <f>+[8]VNR2004!A7</f>
        <v xml:space="preserve"> Salidas de Conexión</v>
      </c>
      <c r="C11" s="895"/>
      <c r="D11" s="896"/>
      <c r="E11" s="896"/>
      <c r="F11" s="896"/>
      <c r="G11" s="896"/>
      <c r="H11" s="896"/>
    </row>
    <row r="12" spans="2:10" ht="12.75" customHeight="1" x14ac:dyDescent="0.2">
      <c r="B12" s="897" t="str">
        <f>+'[9]CX cxj  '!A12</f>
        <v>CXS34.5 Barra Sencilla</v>
      </c>
      <c r="C12" s="39" t="str">
        <f>+'[9]CX cxj  '!B12</f>
        <v>Miles B/./Salida</v>
      </c>
      <c r="D12" s="898">
        <f>SUM(E12:H12)</f>
        <v>3636</v>
      </c>
      <c r="E12" s="898">
        <f>+'CX cxj Año1 '!Q12</f>
        <v>909</v>
      </c>
      <c r="F12" s="898">
        <f>+'CX cxj Año2'!Q12</f>
        <v>909</v>
      </c>
      <c r="G12" s="898">
        <f>+'CX cxj Año3'!Q12</f>
        <v>909</v>
      </c>
      <c r="H12" s="898">
        <f>+'CX cxj Año4'!Q12</f>
        <v>909</v>
      </c>
    </row>
    <row r="13" spans="2:10" ht="12.75" customHeight="1" x14ac:dyDescent="0.2">
      <c r="B13" s="897" t="str">
        <f>+'[9]CX cxj  '!A13</f>
        <v>CXS34.5 Interruptor y Medio</v>
      </c>
      <c r="C13" s="39" t="str">
        <f>+'[9]CX cxj  '!B13</f>
        <v>Miles B/./Salida</v>
      </c>
      <c r="D13" s="898">
        <f t="shared" ref="D13:D23" si="0">SUM(E13:H13)</f>
        <v>13410.88</v>
      </c>
      <c r="E13" s="898">
        <f>+'CX cxj Año1 '!Q13</f>
        <v>3352.72</v>
      </c>
      <c r="F13" s="898">
        <f>+'CX cxj Año2'!Q13</f>
        <v>3352.72</v>
      </c>
      <c r="G13" s="898">
        <f>+'CX cxj Año3'!Q13</f>
        <v>3352.72</v>
      </c>
      <c r="H13" s="898">
        <f>+'CX cxj Año4'!Q13</f>
        <v>3352.72</v>
      </c>
    </row>
    <row r="14" spans="2:10" ht="12.75" customHeight="1" x14ac:dyDescent="0.2">
      <c r="B14" s="897" t="str">
        <f>+'[9]CX cxj  '!A14</f>
        <v>CXS115 Barra Sencilla</v>
      </c>
      <c r="C14" s="39" t="str">
        <f>+'[9]CX cxj  '!B14</f>
        <v>Miles B/./Salida</v>
      </c>
      <c r="D14" s="898">
        <f t="shared" si="0"/>
        <v>521.79999999999995</v>
      </c>
      <c r="E14" s="898">
        <f>+'CX cxj Año1 '!Q14</f>
        <v>130.44999999999999</v>
      </c>
      <c r="F14" s="898">
        <f>+'CX cxj Año2'!Q14</f>
        <v>130.44999999999999</v>
      </c>
      <c r="G14" s="898">
        <f>+'CX cxj Año3'!Q14</f>
        <v>130.44999999999999</v>
      </c>
      <c r="H14" s="898">
        <f>+'CX cxj Año4'!Q14</f>
        <v>130.44999999999999</v>
      </c>
    </row>
    <row r="15" spans="2:10" ht="12.75" customHeight="1" x14ac:dyDescent="0.2">
      <c r="B15" s="897" t="str">
        <f>+'[9]CX cxj  '!A15</f>
        <v>CXS115 Interruptor y Medio</v>
      </c>
      <c r="C15" s="39" t="str">
        <f>+'[9]CX cxj  '!B15</f>
        <v>Miles B/./Salida</v>
      </c>
      <c r="D15" s="898">
        <f>SUM(E15:H15)</f>
        <v>3333.7200000000003</v>
      </c>
      <c r="E15" s="898">
        <f>+'CX cxj Año1 '!Q15</f>
        <v>833.43000000000006</v>
      </c>
      <c r="F15" s="898">
        <f>+'CX cxj Año2'!Q15</f>
        <v>833.43000000000006</v>
      </c>
      <c r="G15" s="898">
        <f>+'CX cxj Año3'!Q15</f>
        <v>833.43000000000006</v>
      </c>
      <c r="H15" s="898">
        <f>+'CX cxj Año4'!Q15</f>
        <v>833.43000000000006</v>
      </c>
    </row>
    <row r="16" spans="2:10" ht="12.75" customHeight="1" x14ac:dyDescent="0.2">
      <c r="B16" s="897" t="str">
        <f>+'[9]CX cxj  '!A18</f>
        <v>CXS230 Interruptor y Medio</v>
      </c>
      <c r="C16" s="39" t="str">
        <f>+'[9]CX cxj  '!B18</f>
        <v>Miles B/./Salida</v>
      </c>
      <c r="D16" s="898">
        <f>SUM(E16:H16)</f>
        <v>12864.449999999999</v>
      </c>
      <c r="E16" s="898">
        <f>+'CX cxj Año1 '!Q16</f>
        <v>2552.65</v>
      </c>
      <c r="F16" s="898">
        <f>+'CX cxj Año2'!Q16</f>
        <v>3182.5999999999995</v>
      </c>
      <c r="G16" s="898">
        <f>+'CX cxj Año3'!Q16</f>
        <v>3437.2799999999997</v>
      </c>
      <c r="H16" s="898">
        <f>+'CX cxj Año4'!Q16</f>
        <v>3691.92</v>
      </c>
    </row>
    <row r="17" spans="2:13" ht="12.75" customHeight="1" x14ac:dyDescent="0.2">
      <c r="B17" s="895" t="str">
        <f>+'[9]CX cxj  '!A19</f>
        <v>Transformadores</v>
      </c>
      <c r="C17" s="39"/>
      <c r="D17" s="898">
        <f t="shared" si="0"/>
        <v>0</v>
      </c>
      <c r="E17" s="898">
        <f>+'CX cxj Año1 '!Q17</f>
        <v>0</v>
      </c>
      <c r="F17" s="898">
        <f>+'CX cxj Año2'!Q17</f>
        <v>0</v>
      </c>
      <c r="G17" s="898">
        <f>+'CX cxj Año3'!Q17</f>
        <v>0</v>
      </c>
      <c r="H17" s="898">
        <f>+'CX cxj Año4'!Q17</f>
        <v>0</v>
      </c>
    </row>
    <row r="18" spans="2:13" ht="12.75" customHeight="1" x14ac:dyDescent="0.2">
      <c r="B18" s="897" t="str">
        <f>+'[9]CX cxj  '!A21</f>
        <v>CXTR Reductor 60/80/100 MVA</v>
      </c>
      <c r="C18" s="39" t="str">
        <f>+'[9]CX cxj  '!B21</f>
        <v>Miles B/./MVA</v>
      </c>
      <c r="D18" s="898">
        <f t="shared" si="0"/>
        <v>1776</v>
      </c>
      <c r="E18" s="898">
        <f>+'CX cxj Año1 '!Q18</f>
        <v>444</v>
      </c>
      <c r="F18" s="898">
        <f>+'CX cxj Año2'!Q18</f>
        <v>444</v>
      </c>
      <c r="G18" s="898">
        <f>+'CX cxj Año3'!Q18</f>
        <v>444</v>
      </c>
      <c r="H18" s="898">
        <f>+'CX cxj Año4'!Q18</f>
        <v>444</v>
      </c>
    </row>
    <row r="19" spans="2:13" ht="12.75" customHeight="1" x14ac:dyDescent="0.2">
      <c r="B19" s="897" t="str">
        <f>+'[9]CX cxj  '!A22</f>
        <v>CXTR Reductor 42/56/70 MVA</v>
      </c>
      <c r="C19" s="39" t="str">
        <f>+'[9]CX cxj  '!B22</f>
        <v>Miles B/./MVA</v>
      </c>
      <c r="D19" s="898">
        <f t="shared" si="0"/>
        <v>0</v>
      </c>
      <c r="E19" s="898">
        <f>+'CX cxj Año1 '!Q19</f>
        <v>0</v>
      </c>
      <c r="F19" s="898">
        <f>+'CX cxj Año2'!Q19</f>
        <v>0</v>
      </c>
      <c r="G19" s="898">
        <f>+'CX cxj Año3'!Q19</f>
        <v>0</v>
      </c>
      <c r="H19" s="898">
        <f>+'CX cxj Año4'!Q19</f>
        <v>0</v>
      </c>
    </row>
    <row r="20" spans="2:13" ht="12.75" customHeight="1" x14ac:dyDescent="0.2">
      <c r="B20" s="897" t="str">
        <f>+'[9]CX cxj  '!A23</f>
        <v>CXTR Reductor 30/40/50 MVA</v>
      </c>
      <c r="C20" s="39" t="str">
        <f>+'[9]CX cxj  '!B23</f>
        <v>Miles B/./MVA</v>
      </c>
      <c r="D20" s="898">
        <f t="shared" si="0"/>
        <v>0</v>
      </c>
      <c r="E20" s="898">
        <f>+'CX cxj Año1 '!Q20</f>
        <v>0</v>
      </c>
      <c r="F20" s="898">
        <f>+'CX cxj Año2'!Q20</f>
        <v>0</v>
      </c>
      <c r="G20" s="898">
        <f>+'CX cxj Año3'!Q20</f>
        <v>0</v>
      </c>
      <c r="H20" s="898">
        <f>+'CX cxj Año4'!Q20</f>
        <v>0</v>
      </c>
    </row>
    <row r="21" spans="2:13" ht="12.75" customHeight="1" x14ac:dyDescent="0.2">
      <c r="B21" s="64" t="s">
        <v>1049</v>
      </c>
      <c r="C21" s="1609" t="s">
        <v>91</v>
      </c>
      <c r="D21" s="898">
        <f t="shared" ref="D21" si="1">SUM(E21:H21)</f>
        <v>1002.24</v>
      </c>
      <c r="E21" s="898">
        <f>+'CX cxj Año1 '!Q21</f>
        <v>250.56</v>
      </c>
      <c r="F21" s="898">
        <f>+'CX cxj Año2'!Q21</f>
        <v>250.56</v>
      </c>
      <c r="G21" s="898">
        <f>+'CX cxj Año3'!Q21</f>
        <v>250.56</v>
      </c>
      <c r="H21" s="898">
        <f>+'CX cxj Año4'!Q21</f>
        <v>250.56</v>
      </c>
    </row>
    <row r="22" spans="2:13" ht="12.75" customHeight="1" x14ac:dyDescent="0.2">
      <c r="B22" s="895" t="str">
        <f>+'[9]CX cxj  '!A25</f>
        <v>Líneas</v>
      </c>
      <c r="C22" s="39"/>
      <c r="D22" s="898">
        <f t="shared" si="0"/>
        <v>0</v>
      </c>
      <c r="E22" s="898">
        <f>+'CX cxj Año1 '!Q22</f>
        <v>0</v>
      </c>
      <c r="F22" s="898">
        <f>+'CX cxj Año2'!Q22</f>
        <v>0</v>
      </c>
      <c r="G22" s="898">
        <f>+'CX cxj Año3'!Q22</f>
        <v>0</v>
      </c>
      <c r="H22" s="898">
        <f>+'CX cxj Año4'!Q22</f>
        <v>0</v>
      </c>
    </row>
    <row r="23" spans="2:13" ht="12.75" customHeight="1" x14ac:dyDescent="0.2">
      <c r="B23" s="897" t="str">
        <f>+'CX cxj Año4'!A23</f>
        <v>CXL 115 KV Circuito Sencillo 636 ACSR</v>
      </c>
      <c r="C23" s="39" t="str">
        <f>+'[9]CX cxj  '!B26</f>
        <v>Miles B/./km</v>
      </c>
      <c r="D23" s="898">
        <f t="shared" si="0"/>
        <v>4232.9907999999996</v>
      </c>
      <c r="E23" s="898">
        <f>+'CX cxj Año1 '!Q23</f>
        <v>1058.2476999999999</v>
      </c>
      <c r="F23" s="898">
        <f>+'CX cxj Año2'!Q23</f>
        <v>1058.2476999999999</v>
      </c>
      <c r="G23" s="898">
        <f>+'CX cxj Año3'!Q23</f>
        <v>1058.2476999999999</v>
      </c>
      <c r="H23" s="898">
        <f>+'CX cxj Año4'!Q23</f>
        <v>1058.2476999999999</v>
      </c>
    </row>
    <row r="24" spans="2:13" ht="12.75" customHeight="1" x14ac:dyDescent="0.25">
      <c r="B24" s="897" t="str">
        <f>+'CX cxj Año4'!A24</f>
        <v>CXL 230 kV Circuito Sencillo 1200 ACAR</v>
      </c>
      <c r="C24" s="153" t="s">
        <v>116</v>
      </c>
      <c r="D24" s="898">
        <f t="shared" ref="D24" si="2">SUM(E24:H24)</f>
        <v>9364.8495999999977</v>
      </c>
      <c r="E24" s="898">
        <f>+'CX cxj Año1 '!Q24</f>
        <v>2341.2123999999994</v>
      </c>
      <c r="F24" s="898">
        <f>+'CX cxj Año2'!Q24</f>
        <v>2341.2123999999994</v>
      </c>
      <c r="G24" s="898">
        <f>+'CX cxj Año3'!Q24</f>
        <v>2341.2123999999994</v>
      </c>
      <c r="H24" s="898">
        <f>+'CX cxj Año4'!Q24</f>
        <v>2341.2123999999994</v>
      </c>
      <c r="M24" s="900"/>
    </row>
    <row r="25" spans="2:13" ht="6" customHeight="1" thickBot="1" x14ac:dyDescent="0.3">
      <c r="B25" s="903"/>
      <c r="C25" s="901"/>
      <c r="D25" s="902"/>
      <c r="E25" s="902"/>
      <c r="F25" s="902"/>
      <c r="G25" s="902"/>
      <c r="H25" s="904"/>
      <c r="M25" s="900"/>
    </row>
    <row r="26" spans="2:13" ht="18.75" thickBot="1" x14ac:dyDescent="0.3">
      <c r="B26" s="905" t="s">
        <v>621</v>
      </c>
      <c r="C26" s="906"/>
      <c r="D26" s="907">
        <f>SUM(D12:D23)</f>
        <v>40778.080799999996</v>
      </c>
      <c r="E26" s="908">
        <f>SUM(E12:E25)</f>
        <v>11872.270099999998</v>
      </c>
      <c r="F26" s="908">
        <f>SUM(F12:F25)</f>
        <v>12502.220099999999</v>
      </c>
      <c r="G26" s="908">
        <f>SUM(G12:G25)</f>
        <v>12756.900099999999</v>
      </c>
      <c r="H26" s="908">
        <f>SUM(H12:H25)</f>
        <v>13011.540099999998</v>
      </c>
      <c r="M26" s="900"/>
    </row>
    <row r="27" spans="2:13" ht="13.5" thickBot="1" x14ac:dyDescent="0.25">
      <c r="B27" s="909"/>
      <c r="C27" s="910"/>
      <c r="D27" s="911"/>
      <c r="E27" s="912"/>
      <c r="F27" s="912"/>
      <c r="G27" s="912"/>
      <c r="H27" s="912"/>
    </row>
    <row r="28" spans="2:13" x14ac:dyDescent="0.2">
      <c r="B28" s="913" t="s">
        <v>722</v>
      </c>
      <c r="C28" s="914"/>
      <c r="D28" s="915">
        <f>SUM(E28:H28)</f>
        <v>14954.979146773772</v>
      </c>
      <c r="E28" s="915">
        <v>2454.2172037816881</v>
      </c>
      <c r="F28" s="915">
        <v>3030.8756996596976</v>
      </c>
      <c r="G28" s="915">
        <v>4304.7908773090367</v>
      </c>
      <c r="H28" s="916">
        <v>5165.0953660233499</v>
      </c>
    </row>
    <row r="29" spans="2:13" x14ac:dyDescent="0.2">
      <c r="B29" s="917" t="s">
        <v>119</v>
      </c>
      <c r="C29" s="918"/>
      <c r="D29" s="919"/>
      <c r="E29" s="920">
        <f>+'IMP Existente APROBADO'!E80</f>
        <v>0.95520089987608769</v>
      </c>
      <c r="F29" s="920">
        <f>+'IMP Existente APROBADO'!F80</f>
        <v>0.87153366777015295</v>
      </c>
      <c r="G29" s="920">
        <f>+'IMP Existente APROBADO'!G80</f>
        <v>0.79519495234503002</v>
      </c>
      <c r="H29" s="920">
        <f>+'IMP Existente APROBADO'!H80</f>
        <v>0.72554283973086675</v>
      </c>
    </row>
    <row r="30" spans="2:13" x14ac:dyDescent="0.2">
      <c r="B30" s="921" t="s">
        <v>622</v>
      </c>
      <c r="C30" s="922"/>
      <c r="D30" s="923">
        <f>SUM(E30:H30)</f>
        <v>41821.161142630546</v>
      </c>
      <c r="E30" s="923">
        <f>+E26*E29</f>
        <v>11340.403083091967</v>
      </c>
      <c r="F30" s="923">
        <f>+F26*F29</f>
        <v>10896.105739022727</v>
      </c>
      <c r="G30" s="923">
        <f>+G26*G29</f>
        <v>10144.222567089808</v>
      </c>
      <c r="H30" s="924">
        <f>+H26*H29</f>
        <v>9440.429753426044</v>
      </c>
    </row>
    <row r="31" spans="2:13" x14ac:dyDescent="0.2">
      <c r="B31" s="921" t="s">
        <v>1039</v>
      </c>
      <c r="C31" s="922"/>
      <c r="D31" s="923">
        <f>SUM(E31:H31)</f>
        <v>41814.840382526047</v>
      </c>
      <c r="E31" s="923">
        <f>+'IMP Existente APROBADO'!E85</f>
        <v>11390.815130546503</v>
      </c>
      <c r="F31" s="923">
        <f>+'IMP Existente APROBADO'!F85</f>
        <v>10963.590334639717</v>
      </c>
      <c r="G31" s="923">
        <f>+'IMP Existente APROBADO'!G85</f>
        <v>10122.160927605881</v>
      </c>
      <c r="H31" s="923">
        <f>+'IMP Existente APROBADO'!H85</f>
        <v>9338.2739897339488</v>
      </c>
    </row>
    <row r="32" spans="2:13" x14ac:dyDescent="0.2">
      <c r="B32" s="925"/>
      <c r="C32" s="926"/>
      <c r="D32" s="898"/>
      <c r="E32" s="898"/>
      <c r="F32" s="898"/>
      <c r="G32" s="898"/>
      <c r="H32" s="927"/>
    </row>
    <row r="33" spans="2:13" x14ac:dyDescent="0.2">
      <c r="B33" s="928" t="s">
        <v>623</v>
      </c>
      <c r="C33" s="929"/>
      <c r="D33" s="1161">
        <f>+(D30-D31)/1000</f>
        <v>6.3207601044996406E-3</v>
      </c>
      <c r="E33" s="930"/>
      <c r="F33" s="930"/>
      <c r="G33" s="930"/>
      <c r="H33" s="931"/>
    </row>
    <row r="34" spans="2:13" x14ac:dyDescent="0.2">
      <c r="B34" s="928" t="s">
        <v>624</v>
      </c>
      <c r="C34" s="929"/>
      <c r="D34" s="1648">
        <f>+D33*1000/D31</f>
        <v>1.511606895225891E-4</v>
      </c>
      <c r="E34" s="932"/>
      <c r="F34" s="933"/>
      <c r="G34" s="933"/>
      <c r="H34" s="934"/>
    </row>
    <row r="35" spans="2:13" ht="13.5" thickBot="1" x14ac:dyDescent="0.25">
      <c r="B35" s="935"/>
      <c r="C35" s="936"/>
      <c r="D35" s="937"/>
      <c r="E35" s="937"/>
      <c r="F35" s="937"/>
      <c r="G35" s="937"/>
      <c r="H35" s="938"/>
    </row>
    <row r="37" spans="2:13" x14ac:dyDescent="0.2">
      <c r="B37" s="939"/>
      <c r="E37" s="1461"/>
      <c r="F37" s="1461"/>
      <c r="G37" s="1461"/>
      <c r="H37" s="1461"/>
    </row>
    <row r="38" spans="2:13" ht="12.75" customHeight="1" x14ac:dyDescent="0.2">
      <c r="D38" s="899"/>
      <c r="E38" s="940"/>
      <c r="F38" s="941"/>
      <c r="G38" s="942"/>
      <c r="H38" s="942"/>
      <c r="I38" s="942"/>
      <c r="J38" s="942"/>
    </row>
    <row r="39" spans="2:13" ht="15" x14ac:dyDescent="0.2">
      <c r="D39" s="944"/>
      <c r="F39" s="941"/>
      <c r="G39" s="943"/>
      <c r="H39" s="943"/>
    </row>
    <row r="40" spans="2:13" ht="18" x14ac:dyDescent="0.25">
      <c r="D40" s="944"/>
      <c r="G40" s="887"/>
      <c r="H40" s="944"/>
      <c r="I40" s="945"/>
      <c r="J40" s="946"/>
      <c r="K40" s="946"/>
      <c r="L40" s="946"/>
      <c r="M40" s="946"/>
    </row>
    <row r="41" spans="2:13" ht="18" x14ac:dyDescent="0.25">
      <c r="G41" s="887"/>
      <c r="H41" s="944"/>
    </row>
    <row r="42" spans="2:13" x14ac:dyDescent="0.2">
      <c r="B42" s="947"/>
      <c r="C42" s="947"/>
      <c r="D42" s="947"/>
      <c r="E42" s="947"/>
      <c r="F42" s="947"/>
      <c r="G42" s="947"/>
      <c r="H42" s="948"/>
      <c r="I42" s="947"/>
      <c r="J42" s="947"/>
      <c r="K42" s="947"/>
      <c r="L42" s="947"/>
      <c r="M42" s="947"/>
    </row>
    <row r="43" spans="2:13" ht="15.75" x14ac:dyDescent="0.25">
      <c r="B43" s="1711" t="s">
        <v>90</v>
      </c>
      <c r="C43" s="1711"/>
    </row>
    <row r="44" spans="2:13" ht="16.5" thickBot="1" x14ac:dyDescent="0.3">
      <c r="B44" s="1711" t="s">
        <v>615</v>
      </c>
      <c r="C44" s="1711"/>
    </row>
    <row r="45" spans="2:13" ht="15.75" thickBot="1" x14ac:dyDescent="0.25">
      <c r="B45" s="949" t="s">
        <v>28</v>
      </c>
      <c r="C45" s="949" t="s">
        <v>625</v>
      </c>
    </row>
    <row r="46" spans="2:13" ht="25.5" x14ac:dyDescent="0.2">
      <c r="B46" s="1489" t="s">
        <v>626</v>
      </c>
      <c r="C46" s="950">
        <f>+D30</f>
        <v>41821.161142630546</v>
      </c>
    </row>
    <row r="47" spans="2:13" ht="27.75" x14ac:dyDescent="0.35">
      <c r="B47" s="1490" t="s">
        <v>723</v>
      </c>
      <c r="C47" s="951">
        <f>+D31</f>
        <v>41814.840382526047</v>
      </c>
    </row>
    <row r="48" spans="2:13" ht="13.5" thickBot="1" x14ac:dyDescent="0.25">
      <c r="B48" s="1491" t="s">
        <v>627</v>
      </c>
      <c r="C48" s="952">
        <f>+C47-C46</f>
        <v>-6.3207601044996409</v>
      </c>
    </row>
    <row r="49" spans="2:3" ht="16.5" thickBot="1" x14ac:dyDescent="0.3">
      <c r="B49" s="949" t="s">
        <v>628</v>
      </c>
      <c r="C49" s="953">
        <f>+C48/C46</f>
        <v>-1.5113784342196448E-4</v>
      </c>
    </row>
  </sheetData>
  <mergeCells count="10">
    <mergeCell ref="B43:C43"/>
    <mergeCell ref="B44:C44"/>
    <mergeCell ref="B1:J1"/>
    <mergeCell ref="B2:J2"/>
    <mergeCell ref="B3:J3"/>
    <mergeCell ref="B4:J4"/>
    <mergeCell ref="B8:B9"/>
    <mergeCell ref="C8:C9"/>
    <mergeCell ref="D8:D9"/>
    <mergeCell ref="E8:H8"/>
  </mergeCells>
  <phoneticPr fontId="124" type="noConversion"/>
  <printOptions horizontalCentered="1" verticalCentered="1"/>
  <pageMargins left="0.62992125984251968" right="0.62992125984251968" top="1" bottom="1.3779527559055118" header="0" footer="1.0629921259842521"/>
  <pageSetup scale="80" orientation="landscape" horizontalDpi="300" verticalDpi="300" r:id="rId1"/>
  <headerFooter alignWithMargins="0">
    <oddHeader>&amp;F</oddHeader>
    <oddFooter>&amp;L&amp;8HOJA:  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-0.249977111117893"/>
  </sheetPr>
  <dimension ref="A1:Z97"/>
  <sheetViews>
    <sheetView showGridLines="0" zoomScale="55" zoomScaleNormal="55" zoomScaleSheetLayoutView="40" workbookViewId="0">
      <selection activeCell="C15" sqref="C15"/>
    </sheetView>
  </sheetViews>
  <sheetFormatPr baseColWidth="10" defaultColWidth="10.85546875" defaultRowHeight="15" x14ac:dyDescent="0.2"/>
  <cols>
    <col min="1" max="1" width="3.42578125" style="1496" customWidth="1"/>
    <col min="2" max="2" width="38.5703125" style="1496" customWidth="1"/>
    <col min="3" max="3" width="34.28515625" style="1496" customWidth="1"/>
    <col min="4" max="4" width="19" style="1496" customWidth="1"/>
    <col min="5" max="5" width="15.7109375" style="1496" customWidth="1"/>
    <col min="6" max="6" width="14.5703125" style="1499" customWidth="1"/>
    <col min="7" max="7" width="18.28515625" style="1496" customWidth="1"/>
    <col min="8" max="8" width="19.28515625" style="1496" customWidth="1"/>
    <col min="9" max="9" width="16.5703125" style="1497" customWidth="1"/>
    <col min="10" max="10" width="15" style="1497" customWidth="1"/>
    <col min="11" max="11" width="19" style="1497" customWidth="1"/>
    <col min="12" max="12" width="22" style="1497" customWidth="1"/>
    <col min="13" max="13" width="12.5703125" style="1497" customWidth="1"/>
    <col min="14" max="14" width="16.85546875" style="1496" customWidth="1"/>
    <col min="15" max="15" width="11.7109375" style="1496" customWidth="1"/>
    <col min="16" max="16" width="14.5703125" style="1496" customWidth="1"/>
    <col min="17" max="18" width="11.7109375" style="1496" customWidth="1"/>
    <col min="19" max="19" width="15.42578125" style="1496" customWidth="1"/>
    <col min="20" max="21" width="11.7109375" style="1496" customWidth="1"/>
    <col min="22" max="22" width="14.7109375" style="1496" customWidth="1"/>
    <col min="23" max="23" width="11.7109375" style="1496" customWidth="1"/>
    <col min="24" max="24" width="12.28515625" style="1496" customWidth="1"/>
    <col min="25" max="26" width="11.7109375" style="1496" customWidth="1"/>
    <col min="27" max="16384" width="10.85546875" style="1496"/>
  </cols>
  <sheetData>
    <row r="1" spans="2:8" ht="21" customHeight="1" thickBot="1" x14ac:dyDescent="0.3">
      <c r="B1" s="1729" t="s">
        <v>110</v>
      </c>
      <c r="C1" s="1729"/>
      <c r="D1" s="1729"/>
      <c r="E1" s="1729"/>
      <c r="F1" s="1729"/>
      <c r="G1" s="1729"/>
    </row>
    <row r="2" spans="2:8" ht="13.5" customHeight="1" thickBot="1" x14ac:dyDescent="0.25">
      <c r="B2" s="1730" t="s">
        <v>0</v>
      </c>
      <c r="C2" s="1732" t="s">
        <v>1</v>
      </c>
      <c r="D2" s="1380" t="s">
        <v>136</v>
      </c>
      <c r="E2" s="1471" t="s">
        <v>67</v>
      </c>
      <c r="F2" s="711"/>
    </row>
    <row r="3" spans="2:8" x14ac:dyDescent="0.2">
      <c r="B3" s="1731"/>
      <c r="C3" s="1733"/>
      <c r="D3" s="1498" t="s">
        <v>8</v>
      </c>
      <c r="E3" s="1472"/>
      <c r="G3" s="1497"/>
    </row>
    <row r="4" spans="2:8" x14ac:dyDescent="0.2">
      <c r="B4" s="1500" t="s">
        <v>3</v>
      </c>
      <c r="C4" s="1501"/>
      <c r="D4" s="1502"/>
      <c r="E4" s="1503"/>
      <c r="G4" s="1497"/>
    </row>
    <row r="5" spans="2:8" x14ac:dyDescent="0.2">
      <c r="B5" s="1504" t="s">
        <v>82</v>
      </c>
      <c r="C5" s="1505">
        <f>(+'SALIDAS Y TRANSFORMACION'!E66+'SALIDAS Y TRANSFORMACION'!E67)/1000</f>
        <v>9153.9769634274617</v>
      </c>
      <c r="D5" s="1506">
        <f>+'SALIDAS Y TRANSFORMACION'!D67+'SALIDAS Y TRANSFORMACION'!D66</f>
        <v>6</v>
      </c>
      <c r="E5" s="1507">
        <f>+C5/D5</f>
        <v>1525.6628272379103</v>
      </c>
      <c r="G5" s="1508"/>
    </row>
    <row r="6" spans="2:8" x14ac:dyDescent="0.2">
      <c r="B6" s="1504" t="s">
        <v>83</v>
      </c>
      <c r="C6" s="1505">
        <f>(+'SALIDAS Y TRANSFORMACION'!E68+'SALIDAS Y TRANSFORMACION'!E69+'SALIDAS Y TRANSFORMACION'!E70)/1000</f>
        <v>33763.579456221967</v>
      </c>
      <c r="D6" s="1656">
        <f>+'SALIDAS Y TRANSFORMACION'!D68+'SALIDAS Y TRANSFORMACION'!D69+'SALIDAS Y TRANSFORMACION'!D70</f>
        <v>14</v>
      </c>
      <c r="E6" s="1507">
        <f>+C6/D6</f>
        <v>2411.6842468729978</v>
      </c>
      <c r="G6" s="1508"/>
      <c r="H6" s="1509"/>
    </row>
    <row r="7" spans="2:8" x14ac:dyDescent="0.2">
      <c r="B7" s="1504" t="s">
        <v>84</v>
      </c>
      <c r="C7" s="1505">
        <f>(+'SALIDAS Y TRANSFORMACION'!E60+'SALIDAS Y TRANSFORMACION'!E62+'SALIDAS Y TRANSFORMACION'!E63)/1000</f>
        <v>1313.6501315770911</v>
      </c>
      <c r="D7" s="1506">
        <f>+'SALIDAS Y TRANSFORMACION'!D60+'SALIDAS Y TRANSFORMACION'!D62+'SALIDAS Y TRANSFORMACION'!D63</f>
        <v>1</v>
      </c>
      <c r="E7" s="1507">
        <f>+C7/D7</f>
        <v>1313.6501315770911</v>
      </c>
      <c r="G7" s="1508"/>
      <c r="H7" s="1509"/>
    </row>
    <row r="8" spans="2:8" x14ac:dyDescent="0.2">
      <c r="B8" s="1504" t="s">
        <v>85</v>
      </c>
      <c r="C8" s="1505">
        <f>(+'SALIDAS Y TRANSFORMACION'!E59)/1000</f>
        <v>8393.2001777465612</v>
      </c>
      <c r="D8" s="1506">
        <f>+'SALIDAS Y TRANSFORMACION'!D59</f>
        <v>3</v>
      </c>
      <c r="E8" s="1507">
        <f>+C8/D8</f>
        <v>2797.7333925821872</v>
      </c>
      <c r="G8" s="1508"/>
    </row>
    <row r="9" spans="2:8" x14ac:dyDescent="0.2">
      <c r="B9" s="1504" t="s">
        <v>86</v>
      </c>
      <c r="C9" s="1505">
        <f>(+'SALIDAS Y TRANSFORMACION'!E50+'SALIDAS Y TRANSFORMACION'!E52+'SALIDAS Y TRANSFORMACION'!E51+'SALIDAS Y TRANSFORMACION'!E54+'SALIDAS Y TRANSFORMACION'!E56+'SALIDAS Y TRANSFORMACION'!E55)/1000</f>
        <v>19362.328930338896</v>
      </c>
      <c r="D9" s="1655">
        <f>+'SALIDAS Y TRANSFORMACION'!D50+'SALIDAS Y TRANSFORMACION'!D52+'SALIDAS Y TRANSFORMACION'!D51+'SALIDAS Y TRANSFORMACION'!D54+'SALIDAS Y TRANSFORMACION'!D56+'SALIDAS Y TRANSFORMACION'!D55</f>
        <v>9</v>
      </c>
      <c r="E9" s="1507">
        <f>+C9/D9</f>
        <v>2151.3698811487661</v>
      </c>
      <c r="G9" s="1508"/>
      <c r="H9" s="1509"/>
    </row>
    <row r="10" spans="2:8" x14ac:dyDescent="0.2">
      <c r="B10" s="1504" t="s">
        <v>139</v>
      </c>
      <c r="C10" s="1505"/>
      <c r="D10" s="1506"/>
      <c r="E10" s="1507"/>
      <c r="G10" s="1508"/>
    </row>
    <row r="11" spans="2:8" x14ac:dyDescent="0.2">
      <c r="B11" s="1510" t="s">
        <v>4</v>
      </c>
      <c r="C11" s="1505"/>
      <c r="D11" s="1506"/>
      <c r="E11" s="1507"/>
      <c r="G11" s="1508"/>
    </row>
    <row r="12" spans="2:8" x14ac:dyDescent="0.2">
      <c r="B12" s="1511" t="str">
        <f>+B34</f>
        <v>CXTR Reductor 60/80/100 MVA</v>
      </c>
      <c r="C12" s="1505">
        <f>(+'SALIDAS Y TRANSFORMACION'!E42+'SALIDAS Y TRANSFORMACION'!E44+'SALIDAS Y TRANSFORMACION'!E45)/1000</f>
        <v>4453.6182377634577</v>
      </c>
      <c r="D12" s="1506">
        <f>+'SALIDAS Y TRANSFORMACION'!D42+'SALIDAS Y TRANSFORMACION'!D45</f>
        <v>600</v>
      </c>
      <c r="E12" s="1507">
        <f>+C12/D12</f>
        <v>7.422697062939096</v>
      </c>
      <c r="G12" s="1508"/>
    </row>
    <row r="13" spans="2:8" x14ac:dyDescent="0.2">
      <c r="B13" s="1512" t="s">
        <v>5</v>
      </c>
      <c r="C13" s="1505"/>
      <c r="D13" s="1513"/>
      <c r="E13" s="1507"/>
      <c r="G13" s="1508"/>
      <c r="H13" s="1514"/>
    </row>
    <row r="14" spans="2:8" x14ac:dyDescent="0.2">
      <c r="B14" s="1512" t="s">
        <v>6</v>
      </c>
      <c r="C14" s="1505"/>
      <c r="D14" s="1513"/>
      <c r="E14" s="1507"/>
      <c r="G14" s="1508"/>
    </row>
    <row r="15" spans="2:8" x14ac:dyDescent="0.2">
      <c r="B15" s="1512" t="s">
        <v>1049</v>
      </c>
      <c r="C15" s="1505">
        <f>(+'SALIDAS Y TRANSFORMACION'!E46)/1000</f>
        <v>2522.2986042971866</v>
      </c>
      <c r="D15" s="1513">
        <f>+'SALIDAS Y TRANSFORMACION'!D46</f>
        <v>24</v>
      </c>
      <c r="E15" s="1507">
        <f>+C15/D15</f>
        <v>105.09577517904944</v>
      </c>
      <c r="G15" s="1508"/>
    </row>
    <row r="16" spans="2:8" x14ac:dyDescent="0.2">
      <c r="B16" s="1512" t="s">
        <v>139</v>
      </c>
      <c r="C16" s="1515"/>
      <c r="D16" s="1513"/>
      <c r="E16" s="1507"/>
      <c r="G16" s="1516"/>
    </row>
    <row r="17" spans="2:26" ht="15.75" x14ac:dyDescent="0.25">
      <c r="B17" s="1517" t="s">
        <v>416</v>
      </c>
      <c r="C17" s="1518">
        <f>SUM(C5:C16)</f>
        <v>78962.652501372635</v>
      </c>
      <c r="D17" s="1608">
        <f>SUM(D5:D16)</f>
        <v>657</v>
      </c>
      <c r="E17" s="1518">
        <f>SUM(E5:E16)</f>
        <v>10312.618951660943</v>
      </c>
      <c r="G17" s="1516"/>
    </row>
    <row r="18" spans="2:26" x14ac:dyDescent="0.2">
      <c r="B18" s="1519" t="s">
        <v>7</v>
      </c>
      <c r="C18" s="1520"/>
      <c r="D18" s="1506"/>
      <c r="E18" s="1507"/>
      <c r="G18" s="1508"/>
    </row>
    <row r="19" spans="2:26" x14ac:dyDescent="0.2">
      <c r="B19" s="1521" t="s">
        <v>87</v>
      </c>
      <c r="C19" s="1505">
        <f>+G66/1000</f>
        <v>10655.961662479996</v>
      </c>
      <c r="D19" s="1603">
        <f>+E62+E63+E64+E65</f>
        <v>36.129999999999995</v>
      </c>
      <c r="E19" s="1507">
        <f>+C19/D19</f>
        <v>294.93389599999995</v>
      </c>
      <c r="F19" s="1523" t="s">
        <v>26</v>
      </c>
      <c r="G19" s="1508"/>
    </row>
    <row r="20" spans="2:26" ht="15.75" thickBot="1" x14ac:dyDescent="0.25">
      <c r="B20" s="1606" t="s">
        <v>1050</v>
      </c>
      <c r="C20" s="1505">
        <f>+G60/1000</f>
        <v>23578.236586629999</v>
      </c>
      <c r="D20" s="1522">
        <f>+E60</f>
        <v>33.969999999999992</v>
      </c>
      <c r="E20" s="1507">
        <f>+C20/D20</f>
        <v>694.08997900000008</v>
      </c>
      <c r="F20" s="1523" t="s">
        <v>125</v>
      </c>
      <c r="G20" s="1497"/>
    </row>
    <row r="21" spans="2:26" ht="16.5" thickBot="1" x14ac:dyDescent="0.3">
      <c r="B21" s="1524" t="s">
        <v>96</v>
      </c>
      <c r="C21" s="1525">
        <f>+C17+C19+C20</f>
        <v>113196.85075048263</v>
      </c>
      <c r="D21" s="1525"/>
      <c r="E21" s="1526"/>
      <c r="F21" s="1527"/>
      <c r="G21" s="1497"/>
    </row>
    <row r="22" spans="2:26" ht="16.5" thickBot="1" x14ac:dyDescent="0.3">
      <c r="C22" s="1526"/>
      <c r="D22" s="1528"/>
      <c r="E22" s="1526"/>
      <c r="F22" s="1529"/>
      <c r="G22" s="1526"/>
      <c r="I22" s="1496"/>
      <c r="J22" s="1496"/>
      <c r="K22" s="1496"/>
      <c r="L22" s="1496"/>
      <c r="M22" s="1496"/>
    </row>
    <row r="23" spans="2:26" s="1599" customFormat="1" ht="32.25" thickBot="1" x14ac:dyDescent="0.25">
      <c r="B23" s="1585" t="s">
        <v>68</v>
      </c>
      <c r="C23" s="1586"/>
      <c r="D23" s="1587" t="s">
        <v>939</v>
      </c>
      <c r="E23" s="1588"/>
      <c r="F23" s="1589"/>
      <c r="G23" s="1587" t="s">
        <v>940</v>
      </c>
      <c r="H23" s="1588"/>
      <c r="I23" s="1590"/>
      <c r="J23" s="1591" t="s">
        <v>941</v>
      </c>
      <c r="K23" s="1592"/>
      <c r="L23" s="1590"/>
      <c r="M23" s="1591" t="s">
        <v>942</v>
      </c>
      <c r="N23" s="1592"/>
      <c r="O23" s="1593"/>
      <c r="P23" s="1594" t="s">
        <v>943</v>
      </c>
      <c r="Q23" s="1595"/>
      <c r="R23" s="1593"/>
      <c r="S23" s="1594" t="s">
        <v>944</v>
      </c>
      <c r="T23" s="1595"/>
      <c r="U23" s="1596"/>
      <c r="V23" s="1597" t="s">
        <v>945</v>
      </c>
      <c r="W23" s="1598"/>
      <c r="X23" s="1596"/>
      <c r="Y23" s="1597" t="s">
        <v>946</v>
      </c>
      <c r="Z23" s="1598"/>
    </row>
    <row r="24" spans="2:26" ht="15.75" customHeight="1" thickBot="1" x14ac:dyDescent="0.3">
      <c r="B24" s="1734" t="s">
        <v>0</v>
      </c>
      <c r="C24" s="1724" t="s">
        <v>137</v>
      </c>
      <c r="D24" s="1530" t="s">
        <v>136</v>
      </c>
      <c r="E24" s="1724" t="s">
        <v>67</v>
      </c>
      <c r="F24" s="1724" t="s">
        <v>137</v>
      </c>
      <c r="G24" s="1530" t="s">
        <v>136</v>
      </c>
      <c r="H24" s="1724" t="s">
        <v>67</v>
      </c>
      <c r="I24" s="1724" t="s">
        <v>137</v>
      </c>
      <c r="J24" s="1530" t="s">
        <v>136</v>
      </c>
      <c r="K24" s="1724" t="s">
        <v>67</v>
      </c>
      <c r="L24" s="1724" t="s">
        <v>137</v>
      </c>
      <c r="M24" s="1530" t="s">
        <v>136</v>
      </c>
      <c r="N24" s="1724" t="s">
        <v>67</v>
      </c>
      <c r="O24" s="1724" t="s">
        <v>137</v>
      </c>
      <c r="P24" s="1530" t="s">
        <v>136</v>
      </c>
      <c r="Q24" s="1724" t="s">
        <v>67</v>
      </c>
      <c r="R24" s="1724" t="s">
        <v>137</v>
      </c>
      <c r="S24" s="1530" t="s">
        <v>136</v>
      </c>
      <c r="T24" s="1724" t="s">
        <v>67</v>
      </c>
      <c r="U24" s="1724" t="s">
        <v>137</v>
      </c>
      <c r="V24" s="1530" t="s">
        <v>136</v>
      </c>
      <c r="W24" s="1724" t="s">
        <v>67</v>
      </c>
      <c r="X24" s="1724" t="s">
        <v>137</v>
      </c>
      <c r="Y24" s="1530" t="s">
        <v>136</v>
      </c>
      <c r="Z24" s="1724" t="s">
        <v>67</v>
      </c>
    </row>
    <row r="25" spans="2:26" ht="15.75" thickBot="1" x14ac:dyDescent="0.3">
      <c r="B25" s="1735"/>
      <c r="C25" s="1725"/>
      <c r="D25" s="1531" t="s">
        <v>8</v>
      </c>
      <c r="E25" s="1725"/>
      <c r="F25" s="1725"/>
      <c r="G25" s="1531" t="s">
        <v>8</v>
      </c>
      <c r="H25" s="1725"/>
      <c r="I25" s="1725"/>
      <c r="J25" s="1531" t="s">
        <v>8</v>
      </c>
      <c r="K25" s="1725"/>
      <c r="L25" s="1725"/>
      <c r="M25" s="1531" t="s">
        <v>8</v>
      </c>
      <c r="N25" s="1725"/>
      <c r="O25" s="1725"/>
      <c r="P25" s="1531" t="s">
        <v>8</v>
      </c>
      <c r="Q25" s="1725"/>
      <c r="R25" s="1725"/>
      <c r="S25" s="1531" t="s">
        <v>8</v>
      </c>
      <c r="T25" s="1725"/>
      <c r="U25" s="1725"/>
      <c r="V25" s="1531" t="s">
        <v>8</v>
      </c>
      <c r="W25" s="1725"/>
      <c r="X25" s="1725"/>
      <c r="Y25" s="1531" t="s">
        <v>8</v>
      </c>
      <c r="Z25" s="1725"/>
    </row>
    <row r="26" spans="2:26" x14ac:dyDescent="0.2">
      <c r="B26" s="1532" t="s">
        <v>3</v>
      </c>
      <c r="C26" s="1533"/>
      <c r="D26" s="1534"/>
      <c r="E26" s="1535"/>
      <c r="F26" s="1533"/>
      <c r="G26" s="1534"/>
      <c r="H26" s="1535"/>
      <c r="I26" s="1533"/>
      <c r="J26" s="1534"/>
      <c r="K26" s="1535"/>
      <c r="L26" s="1533"/>
      <c r="M26" s="1534"/>
      <c r="N26" s="1535"/>
      <c r="O26" s="1533"/>
      <c r="P26" s="1534"/>
      <c r="Q26" s="1535"/>
      <c r="R26" s="1533"/>
      <c r="S26" s="1534"/>
      <c r="T26" s="1535"/>
      <c r="U26" s="1533"/>
      <c r="V26" s="1534"/>
      <c r="W26" s="1535"/>
      <c r="X26" s="1533"/>
      <c r="Y26" s="1534"/>
      <c r="Z26" s="1535"/>
    </row>
    <row r="27" spans="2:26" ht="15.75" x14ac:dyDescent="0.25">
      <c r="B27" s="1536" t="s">
        <v>82</v>
      </c>
      <c r="C27" s="1537"/>
      <c r="D27" s="1538"/>
      <c r="E27" s="1539"/>
      <c r="F27" s="1540"/>
      <c r="G27" s="1541"/>
      <c r="H27" s="1539"/>
      <c r="I27" s="1540"/>
      <c r="J27" s="1541"/>
      <c r="K27" s="1539"/>
      <c r="L27" s="1540"/>
      <c r="M27" s="1541"/>
      <c r="N27" s="1539"/>
      <c r="O27" s="1540"/>
      <c r="P27" s="1541"/>
      <c r="Q27" s="1539"/>
      <c r="R27" s="1540"/>
      <c r="S27" s="1541"/>
      <c r="T27" s="1539"/>
      <c r="U27" s="1540"/>
      <c r="V27" s="1541"/>
      <c r="W27" s="1539"/>
      <c r="X27" s="1540"/>
      <c r="Y27" s="1541"/>
      <c r="Z27" s="1539"/>
    </row>
    <row r="28" spans="2:26" x14ac:dyDescent="0.2">
      <c r="B28" s="1536" t="s">
        <v>83</v>
      </c>
      <c r="C28" s="1540"/>
      <c r="D28" s="1541"/>
      <c r="E28" s="1539"/>
      <c r="F28" s="1540"/>
      <c r="G28" s="1541"/>
      <c r="H28" s="1539"/>
      <c r="I28" s="1540"/>
      <c r="J28" s="1541"/>
      <c r="K28" s="1539"/>
      <c r="L28" s="1540"/>
      <c r="M28" s="1541"/>
      <c r="N28" s="1539"/>
      <c r="O28" s="1540"/>
      <c r="P28" s="1541"/>
      <c r="Q28" s="1539"/>
      <c r="R28" s="1540"/>
      <c r="S28" s="1541"/>
      <c r="T28" s="1539"/>
      <c r="U28" s="1540"/>
      <c r="V28" s="1541"/>
      <c r="W28" s="1539"/>
      <c r="X28" s="1540"/>
      <c r="Y28" s="1541"/>
      <c r="Z28" s="1539"/>
    </row>
    <row r="29" spans="2:26" x14ac:dyDescent="0.2">
      <c r="B29" s="1536" t="s">
        <v>84</v>
      </c>
      <c r="C29" s="1540"/>
      <c r="D29" s="1541"/>
      <c r="E29" s="1539"/>
      <c r="F29" s="1540"/>
      <c r="G29" s="1541"/>
      <c r="H29" s="1539"/>
      <c r="I29" s="1540"/>
      <c r="J29" s="1541"/>
      <c r="K29" s="1539"/>
      <c r="L29" s="1540"/>
      <c r="M29" s="1541"/>
      <c r="N29" s="1539"/>
      <c r="O29" s="1540"/>
      <c r="P29" s="1541"/>
      <c r="Q29" s="1539"/>
      <c r="R29" s="1540"/>
      <c r="S29" s="1541"/>
      <c r="T29" s="1539"/>
      <c r="U29" s="1540"/>
      <c r="V29" s="1541"/>
      <c r="W29" s="1539"/>
      <c r="X29" s="1540"/>
      <c r="Y29" s="1541"/>
      <c r="Z29" s="1539"/>
    </row>
    <row r="30" spans="2:26" x14ac:dyDescent="0.2">
      <c r="B30" s="1536" t="s">
        <v>85</v>
      </c>
      <c r="C30" s="1540"/>
      <c r="D30" s="1541"/>
      <c r="E30" s="1539"/>
      <c r="F30" s="1540"/>
      <c r="G30" s="1541"/>
      <c r="H30" s="1539"/>
      <c r="I30" s="1540"/>
      <c r="J30" s="1541"/>
      <c r="K30" s="1539"/>
      <c r="L30" s="1540"/>
      <c r="M30" s="1541"/>
      <c r="N30" s="1539"/>
      <c r="O30" s="1540"/>
      <c r="P30" s="1541"/>
      <c r="Q30" s="1539"/>
      <c r="R30" s="1540"/>
      <c r="S30" s="1541"/>
      <c r="T30" s="1539"/>
      <c r="U30" s="1540"/>
      <c r="V30" s="1541"/>
      <c r="W30" s="1539"/>
      <c r="X30" s="1540"/>
      <c r="Y30" s="1541"/>
      <c r="Z30" s="1539"/>
    </row>
    <row r="31" spans="2:26" ht="15.75" x14ac:dyDescent="0.25">
      <c r="B31" s="1536" t="s">
        <v>86</v>
      </c>
      <c r="C31" s="1537">
        <f>+'SALIDAS Y TRANSFORMACION'!E75</f>
        <v>12687.898440000001</v>
      </c>
      <c r="D31" s="1538">
        <v>1</v>
      </c>
      <c r="E31" s="1539">
        <f>+D31*C31</f>
        <v>12687.898440000001</v>
      </c>
      <c r="F31" s="1537"/>
      <c r="G31" s="1538"/>
      <c r="H31" s="1539"/>
      <c r="I31" s="1540"/>
      <c r="J31" s="1541"/>
      <c r="K31" s="1539"/>
      <c r="L31" s="1537">
        <f>+'SALIDAS Y TRANSFORMACION'!E76</f>
        <v>5129.0559999999996</v>
      </c>
      <c r="M31" s="1661">
        <v>2</v>
      </c>
      <c r="N31" s="1539">
        <f>+M31*L31</f>
        <v>10258.111999999999</v>
      </c>
      <c r="O31" s="1540"/>
      <c r="P31" s="1541"/>
      <c r="Q31" s="1539"/>
      <c r="R31" s="1537"/>
      <c r="S31" s="1538"/>
      <c r="T31" s="1539"/>
      <c r="U31" s="1540"/>
      <c r="V31" s="1541"/>
      <c r="W31" s="1539"/>
      <c r="X31" s="1540"/>
      <c r="Y31" s="1541"/>
      <c r="Z31" s="1539"/>
    </row>
    <row r="32" spans="2:26" x14ac:dyDescent="0.2">
      <c r="B32" s="1542" t="s">
        <v>140</v>
      </c>
      <c r="C32" s="1540"/>
      <c r="D32" s="1543"/>
      <c r="E32" s="1539"/>
      <c r="F32" s="1540"/>
      <c r="G32" s="1543"/>
      <c r="H32" s="1539"/>
      <c r="I32" s="1540"/>
      <c r="J32" s="1543"/>
      <c r="K32" s="1539"/>
      <c r="L32" s="1540"/>
      <c r="M32" s="1543"/>
      <c r="N32" s="1539"/>
      <c r="O32" s="1540"/>
      <c r="P32" s="1543"/>
      <c r="Q32" s="1539"/>
      <c r="R32" s="1540"/>
      <c r="S32" s="1543"/>
      <c r="T32" s="1539"/>
      <c r="U32" s="1540"/>
      <c r="V32" s="1543"/>
      <c r="W32" s="1539"/>
      <c r="X32" s="1540"/>
      <c r="Y32" s="1543"/>
      <c r="Z32" s="1539"/>
    </row>
    <row r="33" spans="1:26" x14ac:dyDescent="0.2">
      <c r="B33" s="1544" t="s">
        <v>4</v>
      </c>
      <c r="C33" s="1540"/>
      <c r="D33" s="1541"/>
      <c r="E33" s="1539"/>
      <c r="F33" s="1540"/>
      <c r="G33" s="1541"/>
      <c r="H33" s="1539"/>
      <c r="I33" s="1540"/>
      <c r="J33" s="1541"/>
      <c r="K33" s="1539"/>
      <c r="L33" s="1540"/>
      <c r="M33" s="1541"/>
      <c r="N33" s="1539"/>
      <c r="O33" s="1540"/>
      <c r="P33" s="1541"/>
      <c r="Q33" s="1539"/>
      <c r="R33" s="1540"/>
      <c r="S33" s="1541"/>
      <c r="T33" s="1539"/>
      <c r="U33" s="1540"/>
      <c r="V33" s="1541"/>
      <c r="W33" s="1539"/>
      <c r="X33" s="1540"/>
      <c r="Y33" s="1541"/>
      <c r="Z33" s="1539"/>
    </row>
    <row r="34" spans="1:26" x14ac:dyDescent="0.2">
      <c r="B34" s="1545" t="s">
        <v>95</v>
      </c>
      <c r="C34" s="1540"/>
      <c r="D34" s="1543"/>
      <c r="E34" s="1539"/>
      <c r="F34" s="1540"/>
      <c r="G34" s="1543"/>
      <c r="H34" s="1539"/>
      <c r="I34" s="1540"/>
      <c r="J34" s="1543"/>
      <c r="K34" s="1539"/>
      <c r="L34" s="1540"/>
      <c r="M34" s="1543"/>
      <c r="N34" s="1539"/>
      <c r="O34" s="1540"/>
      <c r="P34" s="1543"/>
      <c r="Q34" s="1539"/>
      <c r="R34" s="1540"/>
      <c r="S34" s="1543"/>
      <c r="T34" s="1539"/>
      <c r="U34" s="1540"/>
      <c r="V34" s="1543"/>
      <c r="W34" s="1539"/>
      <c r="X34" s="1540"/>
      <c r="Y34" s="1543"/>
      <c r="Z34" s="1539"/>
    </row>
    <row r="35" spans="1:26" x14ac:dyDescent="0.2">
      <c r="B35" s="1545" t="s">
        <v>5</v>
      </c>
      <c r="C35" s="1540"/>
      <c r="D35" s="1541"/>
      <c r="E35" s="1539"/>
      <c r="F35" s="1540"/>
      <c r="G35" s="1541"/>
      <c r="H35" s="1539"/>
      <c r="I35" s="1540"/>
      <c r="J35" s="1541"/>
      <c r="K35" s="1539"/>
      <c r="L35" s="1540"/>
      <c r="M35" s="1541"/>
      <c r="N35" s="1539"/>
      <c r="O35" s="1540"/>
      <c r="P35" s="1541"/>
      <c r="Q35" s="1539"/>
      <c r="R35" s="1540"/>
      <c r="S35" s="1541"/>
      <c r="T35" s="1539"/>
      <c r="U35" s="1540"/>
      <c r="V35" s="1541"/>
      <c r="W35" s="1539"/>
      <c r="X35" s="1540"/>
      <c r="Y35" s="1541"/>
      <c r="Z35" s="1539"/>
    </row>
    <row r="36" spans="1:26" x14ac:dyDescent="0.2">
      <c r="B36" s="1545" t="s">
        <v>6</v>
      </c>
      <c r="C36" s="1540"/>
      <c r="D36" s="1541"/>
      <c r="E36" s="1539"/>
      <c r="F36" s="1540"/>
      <c r="G36" s="1541"/>
      <c r="H36" s="1539"/>
      <c r="I36" s="1540"/>
      <c r="J36" s="1541"/>
      <c r="K36" s="1539"/>
      <c r="L36" s="1540"/>
      <c r="M36" s="1541"/>
      <c r="N36" s="1539"/>
      <c r="O36" s="1540"/>
      <c r="P36" s="1541"/>
      <c r="Q36" s="1539"/>
      <c r="R36" s="1540"/>
      <c r="S36" s="1541"/>
      <c r="T36" s="1539"/>
      <c r="U36" s="1540"/>
      <c r="V36" s="1541"/>
      <c r="W36" s="1539"/>
      <c r="X36" s="1540"/>
      <c r="Y36" s="1541"/>
      <c r="Z36" s="1539"/>
    </row>
    <row r="37" spans="1:26" x14ac:dyDescent="0.2">
      <c r="B37" s="1546" t="s">
        <v>140</v>
      </c>
      <c r="C37" s="1540"/>
      <c r="D37" s="1541"/>
      <c r="E37" s="1539"/>
      <c r="F37" s="1540"/>
      <c r="G37" s="1541"/>
      <c r="H37" s="1539"/>
      <c r="I37" s="1540"/>
      <c r="J37" s="1541"/>
      <c r="K37" s="1539"/>
      <c r="L37" s="1540"/>
      <c r="M37" s="1541"/>
      <c r="N37" s="1539"/>
      <c r="O37" s="1540"/>
      <c r="P37" s="1541"/>
      <c r="Q37" s="1539"/>
      <c r="R37" s="1540"/>
      <c r="S37" s="1541"/>
      <c r="T37" s="1539"/>
      <c r="U37" s="1540"/>
      <c r="V37" s="1541"/>
      <c r="W37" s="1539"/>
      <c r="X37" s="1540"/>
      <c r="Y37" s="1541"/>
      <c r="Z37" s="1539"/>
    </row>
    <row r="38" spans="1:26" x14ac:dyDescent="0.2">
      <c r="B38" s="1547" t="s">
        <v>7</v>
      </c>
      <c r="C38" s="1540"/>
      <c r="D38" s="1541"/>
      <c r="E38" s="1539"/>
      <c r="F38" s="1540"/>
      <c r="G38" s="1541"/>
      <c r="H38" s="1539"/>
      <c r="I38" s="1540"/>
      <c r="J38" s="1541"/>
      <c r="K38" s="1539"/>
      <c r="L38" s="1540"/>
      <c r="M38" s="1541"/>
      <c r="N38" s="1539"/>
      <c r="O38" s="1540"/>
      <c r="P38" s="1541"/>
      <c r="Q38" s="1539"/>
      <c r="R38" s="1540"/>
      <c r="S38" s="1541"/>
      <c r="T38" s="1539"/>
      <c r="U38" s="1540"/>
      <c r="V38" s="1541"/>
      <c r="W38" s="1539"/>
      <c r="X38" s="1540"/>
      <c r="Y38" s="1541"/>
      <c r="Z38" s="1539"/>
    </row>
    <row r="39" spans="1:26" x14ac:dyDescent="0.2">
      <c r="B39" s="1548" t="s">
        <v>87</v>
      </c>
      <c r="C39" s="1540"/>
      <c r="D39" s="1541"/>
      <c r="E39" s="1539"/>
      <c r="F39" s="1540"/>
      <c r="G39" s="1541"/>
      <c r="H39" s="1539"/>
      <c r="I39" s="1540"/>
      <c r="J39" s="1541"/>
      <c r="K39" s="1539"/>
      <c r="L39" s="1540"/>
      <c r="M39" s="1541"/>
      <c r="N39" s="1539"/>
      <c r="O39" s="1540"/>
      <c r="P39" s="1541"/>
      <c r="Q39" s="1539"/>
      <c r="R39" s="1540"/>
      <c r="S39" s="1541"/>
      <c r="T39" s="1539"/>
      <c r="U39" s="1540"/>
      <c r="V39" s="1541"/>
      <c r="W39" s="1539"/>
      <c r="X39" s="1540"/>
      <c r="Y39" s="1541"/>
      <c r="Z39" s="1539"/>
    </row>
    <row r="40" spans="1:26" ht="15.75" thickBot="1" x14ac:dyDescent="0.25">
      <c r="A40" s="1549"/>
      <c r="B40" s="1550" t="s">
        <v>1041</v>
      </c>
      <c r="C40" s="1540"/>
      <c r="D40" s="1541"/>
      <c r="E40" s="1539"/>
      <c r="F40" s="1540"/>
      <c r="G40" s="1541"/>
      <c r="H40" s="1539"/>
      <c r="I40" s="1540"/>
      <c r="J40" s="1541"/>
      <c r="K40" s="1539"/>
      <c r="L40" s="1540"/>
      <c r="M40" s="1541"/>
      <c r="N40" s="1539"/>
      <c r="O40" s="1540"/>
      <c r="P40" s="1541"/>
      <c r="Q40" s="1539"/>
      <c r="R40" s="1540"/>
      <c r="S40" s="1541"/>
      <c r="T40" s="1539"/>
      <c r="U40" s="1540"/>
      <c r="V40" s="1541"/>
      <c r="W40" s="1539"/>
      <c r="X40" s="1540"/>
      <c r="Y40" s="1541"/>
      <c r="Z40" s="1539"/>
    </row>
    <row r="41" spans="1:26" ht="26.25" customHeight="1" thickBot="1" x14ac:dyDescent="0.3">
      <c r="B41" s="1551"/>
      <c r="C41" s="1552">
        <f>SUM(C27:C40)</f>
        <v>12687.898440000001</v>
      </c>
      <c r="D41" s="1553"/>
      <c r="E41" s="1554"/>
      <c r="F41" s="1552">
        <f>SUM(F27:F40)</f>
        <v>0</v>
      </c>
      <c r="G41" s="1553"/>
      <c r="H41" s="1554"/>
      <c r="I41" s="1552">
        <f>SUM(I27:I40)</f>
        <v>0</v>
      </c>
      <c r="J41" s="1553"/>
      <c r="K41" s="1554"/>
      <c r="L41" s="1552">
        <f>SUM(L27:L40)</f>
        <v>5129.0559999999996</v>
      </c>
      <c r="M41" s="1553"/>
      <c r="N41" s="1554"/>
      <c r="O41" s="1552">
        <f>SUM(O27:O40)</f>
        <v>0</v>
      </c>
      <c r="P41" s="1553"/>
      <c r="Q41" s="1554"/>
      <c r="R41" s="1552">
        <f>SUM(R27:R40)</f>
        <v>0</v>
      </c>
      <c r="S41" s="1553"/>
      <c r="T41" s="1554"/>
      <c r="U41" s="1552">
        <f>SUM(U27:U40)</f>
        <v>0</v>
      </c>
      <c r="V41" s="1553"/>
      <c r="W41" s="1554"/>
      <c r="X41" s="1552">
        <f>SUM(X27:X40)</f>
        <v>0</v>
      </c>
      <c r="Y41" s="1553"/>
      <c r="Z41" s="1554"/>
    </row>
    <row r="42" spans="1:26" x14ac:dyDescent="0.2">
      <c r="D42" s="1555"/>
      <c r="E42" s="1555"/>
      <c r="F42" s="1556"/>
      <c r="G42" s="1555"/>
      <c r="I42" s="1496"/>
      <c r="J42" s="1496"/>
      <c r="K42" s="1496"/>
      <c r="L42" s="1496"/>
      <c r="M42" s="1496"/>
    </row>
    <row r="43" spans="1:26" ht="24" x14ac:dyDescent="0.2">
      <c r="B43" s="1557" t="s">
        <v>25</v>
      </c>
      <c r="C43" s="1558"/>
      <c r="E43" s="1736"/>
      <c r="F43" s="1736"/>
      <c r="G43" s="1736"/>
      <c r="I43" s="1496"/>
      <c r="J43" s="1496"/>
      <c r="K43" s="1496"/>
      <c r="L43" s="1496"/>
      <c r="M43" s="1496"/>
    </row>
    <row r="44" spans="1:26" ht="36" x14ac:dyDescent="0.2">
      <c r="B44" s="1557" t="s">
        <v>130</v>
      </c>
      <c r="C44" s="1560"/>
      <c r="E44" s="1736"/>
      <c r="F44" s="1736"/>
      <c r="G44" s="1736"/>
      <c r="I44" s="1496"/>
      <c r="J44" s="1496"/>
      <c r="K44" s="1496"/>
      <c r="L44" s="1496"/>
      <c r="M44" s="1496"/>
    </row>
    <row r="45" spans="1:26" ht="36" x14ac:dyDescent="0.2">
      <c r="B45" s="1557" t="s">
        <v>1053</v>
      </c>
      <c r="C45" s="1560"/>
      <c r="F45" s="1559"/>
      <c r="I45" s="1496"/>
      <c r="J45" s="1496"/>
      <c r="K45" s="1496"/>
      <c r="L45" s="1496"/>
      <c r="M45" s="1496"/>
    </row>
    <row r="46" spans="1:26" ht="12.75" x14ac:dyDescent="0.2">
      <c r="F46" s="1496"/>
      <c r="I46" s="1496"/>
      <c r="J46" s="1496"/>
      <c r="K46" s="1496"/>
      <c r="L46" s="1496"/>
      <c r="M46" s="1496"/>
    </row>
    <row r="47" spans="1:26" ht="12.75" hidden="1" x14ac:dyDescent="0.2">
      <c r="F47" s="1496"/>
      <c r="I47" s="1496"/>
      <c r="J47" s="1496"/>
      <c r="K47" s="1496"/>
      <c r="L47" s="1496"/>
      <c r="M47" s="1496"/>
    </row>
    <row r="48" spans="1:26" ht="27" hidden="1" customHeight="1" x14ac:dyDescent="0.2">
      <c r="F48" s="1496"/>
      <c r="I48" s="1496"/>
      <c r="J48" s="1496"/>
      <c r="K48" s="1496"/>
      <c r="L48" s="1496"/>
      <c r="M48" s="1496"/>
    </row>
    <row r="49" spans="2:15" hidden="1" x14ac:dyDescent="0.2">
      <c r="C49" s="1561"/>
    </row>
    <row r="50" spans="2:15" hidden="1" x14ac:dyDescent="0.2"/>
    <row r="51" spans="2:15" hidden="1" x14ac:dyDescent="0.2"/>
    <row r="53" spans="2:15" ht="15.75" thickBot="1" x14ac:dyDescent="0.25">
      <c r="B53" s="1562" t="s">
        <v>124</v>
      </c>
    </row>
    <row r="54" spans="2:15" ht="13.5" thickBot="1" x14ac:dyDescent="0.25">
      <c r="B54" s="1563"/>
      <c r="C54" s="1564" t="s">
        <v>120</v>
      </c>
      <c r="D54" s="1565"/>
      <c r="E54" s="1726" t="s">
        <v>121</v>
      </c>
      <c r="F54" s="1727"/>
      <c r="G54" s="1727"/>
      <c r="H54" s="1728"/>
    </row>
    <row r="55" spans="2:15" ht="39" thickBot="1" x14ac:dyDescent="0.25">
      <c r="B55" s="1377"/>
      <c r="C55" s="118" t="s">
        <v>104</v>
      </c>
      <c r="D55" s="119" t="s">
        <v>105</v>
      </c>
      <c r="E55" s="120" t="s">
        <v>106</v>
      </c>
      <c r="F55" s="712" t="s">
        <v>107</v>
      </c>
      <c r="G55" s="121" t="s">
        <v>40</v>
      </c>
      <c r="H55" s="118" t="s">
        <v>108</v>
      </c>
      <c r="I55" s="1379" t="s">
        <v>949</v>
      </c>
      <c r="J55" s="1379" t="s">
        <v>950</v>
      </c>
      <c r="K55" s="1379" t="s">
        <v>951</v>
      </c>
    </row>
    <row r="56" spans="2:15" ht="13.5" thickBot="1" x14ac:dyDescent="0.25">
      <c r="B56" s="1717" t="s">
        <v>921</v>
      </c>
      <c r="C56" s="1468" t="s">
        <v>947</v>
      </c>
      <c r="D56" s="1469"/>
      <c r="E56" s="1469"/>
      <c r="F56" s="1469"/>
      <c r="G56" s="1469"/>
      <c r="H56" s="1470"/>
    </row>
    <row r="57" spans="2:15" ht="31.5" x14ac:dyDescent="0.25">
      <c r="B57" s="1718"/>
      <c r="C57" s="1647" t="s">
        <v>893</v>
      </c>
      <c r="D57" s="1643" t="s">
        <v>892</v>
      </c>
      <c r="E57" s="713">
        <v>16.399999999999999</v>
      </c>
      <c r="F57" s="713"/>
      <c r="G57" s="104">
        <f>+'VNR APROBADO'!S83</f>
        <v>11383075.6556</v>
      </c>
      <c r="H57" s="108">
        <f>+G57/E60*E57</f>
        <v>5495509.0006429208</v>
      </c>
      <c r="I57" s="1497">
        <v>381</v>
      </c>
      <c r="J57" s="1566">
        <f>+I57/$I$60</f>
        <v>0.52049180327868849</v>
      </c>
      <c r="K57" s="1497">
        <f>+J57*$G$60</f>
        <v>12272278.879106596</v>
      </c>
      <c r="L57" s="1567" t="s">
        <v>731</v>
      </c>
    </row>
    <row r="58" spans="2:15" ht="15.75" x14ac:dyDescent="0.25">
      <c r="B58" s="1719"/>
      <c r="C58" s="1647" t="s">
        <v>895</v>
      </c>
      <c r="D58" s="1643" t="s">
        <v>894</v>
      </c>
      <c r="E58" s="714">
        <v>16.45</v>
      </c>
      <c r="F58" s="714"/>
      <c r="G58" s="104">
        <f>+'VNR APROBADO'!S84</f>
        <v>11417780.154549999</v>
      </c>
      <c r="H58" s="108">
        <f>+G58/E60*E58</f>
        <v>5529069.2829657793</v>
      </c>
      <c r="J58" s="1566"/>
      <c r="L58" s="1567"/>
    </row>
    <row r="59" spans="2:15" ht="32.25" thickBot="1" x14ac:dyDescent="0.3">
      <c r="B59" s="1720"/>
      <c r="C59" s="1647" t="s">
        <v>897</v>
      </c>
      <c r="D59" s="1643" t="s">
        <v>896</v>
      </c>
      <c r="E59" s="714">
        <v>1.1200000000000001</v>
      </c>
      <c r="F59" s="714"/>
      <c r="G59" s="104">
        <f>+'VNR APROBADO'!S85</f>
        <v>777380.77647999988</v>
      </c>
      <c r="H59" s="108">
        <f>+G59/E60*E59</f>
        <v>25630.452447971744</v>
      </c>
      <c r="I59" s="1496">
        <v>351</v>
      </c>
      <c r="J59" s="1566">
        <f>+I59/$I$60</f>
        <v>0.47950819672131145</v>
      </c>
      <c r="K59" s="1497">
        <f>+J59*$G$60</f>
        <v>11305957.7075234</v>
      </c>
      <c r="L59" s="1567" t="s">
        <v>732</v>
      </c>
    </row>
    <row r="60" spans="2:15" ht="16.149999999999999" customHeight="1" thickBot="1" x14ac:dyDescent="0.3">
      <c r="B60" s="1568"/>
      <c r="C60" s="1569"/>
      <c r="E60" s="1605">
        <f>SUM(E57:E59)</f>
        <v>33.969999999999992</v>
      </c>
      <c r="F60" s="1559"/>
      <c r="G60" s="125">
        <f>SUM(G57:G59)</f>
        <v>23578236.586629998</v>
      </c>
      <c r="H60" s="125">
        <f>+G60/E60</f>
        <v>694089.97900000005</v>
      </c>
      <c r="I60" s="125">
        <f>+I57+I59</f>
        <v>732</v>
      </c>
      <c r="J60" s="1378">
        <f>+I60/$I$60</f>
        <v>1</v>
      </c>
      <c r="K60" s="125">
        <f>+J60*$G$60</f>
        <v>23578236.586629998</v>
      </c>
      <c r="L60" s="1567" t="s">
        <v>730</v>
      </c>
    </row>
    <row r="61" spans="2:15" ht="15.6" customHeight="1" thickBot="1" x14ac:dyDescent="0.25">
      <c r="B61" s="1721" t="s">
        <v>948</v>
      </c>
      <c r="C61" s="1468" t="s">
        <v>122</v>
      </c>
      <c r="D61" s="1469"/>
      <c r="E61" s="1469"/>
      <c r="F61" s="1469"/>
      <c r="G61" s="1469"/>
      <c r="H61" s="1470"/>
      <c r="J61" s="1496"/>
      <c r="L61" s="1496"/>
      <c r="M61" s="1559"/>
    </row>
    <row r="62" spans="2:15" ht="31.5" customHeight="1" x14ac:dyDescent="0.2">
      <c r="B62" s="1722"/>
      <c r="C62" s="102" t="s">
        <v>36</v>
      </c>
      <c r="D62" s="103" t="s">
        <v>99</v>
      </c>
      <c r="E62" s="713">
        <v>6.18</v>
      </c>
      <c r="F62" s="713">
        <v>17</v>
      </c>
      <c r="G62" s="104">
        <f>+'VNR APROBADO'!S87</f>
        <v>1822691.4772799998</v>
      </c>
      <c r="H62" s="105">
        <f>+G62/E62</f>
        <v>294933.89599999995</v>
      </c>
      <c r="M62" s="1559"/>
      <c r="O62" s="1497"/>
    </row>
    <row r="63" spans="2:15" x14ac:dyDescent="0.2">
      <c r="B63" s="1722"/>
      <c r="C63" s="106" t="s">
        <v>37</v>
      </c>
      <c r="D63" s="107" t="s">
        <v>100</v>
      </c>
      <c r="E63" s="714">
        <v>1.7</v>
      </c>
      <c r="F63" s="714">
        <v>6</v>
      </c>
      <c r="G63" s="104">
        <f>+'VNR APROBADO'!S88</f>
        <v>501387.62319999997</v>
      </c>
      <c r="H63" s="108">
        <f t="shared" ref="H63:H65" si="0">+G63/E63</f>
        <v>294933.89600000001</v>
      </c>
    </row>
    <row r="64" spans="2:15" ht="35.65" customHeight="1" x14ac:dyDescent="0.2">
      <c r="B64" s="1722"/>
      <c r="C64" s="106" t="s">
        <v>101</v>
      </c>
      <c r="D64" s="107" t="s">
        <v>102</v>
      </c>
      <c r="E64" s="714">
        <v>0.5</v>
      </c>
      <c r="F64" s="714">
        <v>2</v>
      </c>
      <c r="G64" s="104">
        <f>+'VNR APROBADO'!S89</f>
        <v>147466.948</v>
      </c>
      <c r="H64" s="108">
        <f t="shared" si="0"/>
        <v>294933.89600000001</v>
      </c>
    </row>
    <row r="65" spans="1:10" ht="30.4" customHeight="1" thickBot="1" x14ac:dyDescent="0.25">
      <c r="B65" s="1723"/>
      <c r="C65" s="109" t="s">
        <v>39</v>
      </c>
      <c r="D65" s="110" t="s">
        <v>103</v>
      </c>
      <c r="E65" s="715">
        <v>27.75</v>
      </c>
      <c r="F65" s="715">
        <v>80</v>
      </c>
      <c r="G65" s="111">
        <f>+'VNR APROBADO'!S90</f>
        <v>8184415.6139999982</v>
      </c>
      <c r="H65" s="112">
        <f t="shared" si="0"/>
        <v>294933.89599999995</v>
      </c>
    </row>
    <row r="66" spans="1:10" ht="35.65" customHeight="1" thickBot="1" x14ac:dyDescent="0.25">
      <c r="B66" s="122"/>
      <c r="C66" s="123" t="s">
        <v>123</v>
      </c>
      <c r="D66" s="123"/>
      <c r="E66" s="710">
        <f>SUM(E62:E65)+E60</f>
        <v>70.099999999999994</v>
      </c>
      <c r="F66" s="710">
        <f>SUM(F62:F65)</f>
        <v>105</v>
      </c>
      <c r="G66" s="124">
        <f>SUM(G62:G65)</f>
        <v>10655961.662479997</v>
      </c>
      <c r="H66" s="125">
        <f>+G66/E66</f>
        <v>152010.86537061338</v>
      </c>
      <c r="I66" s="1570"/>
    </row>
    <row r="67" spans="1:10" x14ac:dyDescent="0.2">
      <c r="I67" s="1570"/>
      <c r="J67" s="1497" t="s">
        <v>10</v>
      </c>
    </row>
    <row r="68" spans="1:10" ht="35.25" customHeight="1" x14ac:dyDescent="0.2"/>
    <row r="69" spans="1:10" x14ac:dyDescent="0.2">
      <c r="D69" s="1569"/>
    </row>
    <row r="73" spans="1:10" x14ac:dyDescent="0.2">
      <c r="I73" s="1570"/>
    </row>
    <row r="74" spans="1:10" x14ac:dyDescent="0.2">
      <c r="B74" s="1568"/>
      <c r="C74" s="1569"/>
    </row>
    <row r="75" spans="1:10" x14ac:dyDescent="0.2">
      <c r="B75" s="1568"/>
      <c r="C75" s="1569"/>
      <c r="F75" s="1559"/>
    </row>
    <row r="76" spans="1:10" x14ac:dyDescent="0.2">
      <c r="B76" s="1571"/>
      <c r="C76" s="1569"/>
      <c r="F76" s="1559"/>
    </row>
    <row r="77" spans="1:10" x14ac:dyDescent="0.2">
      <c r="B77" s="1568"/>
    </row>
    <row r="78" spans="1:10" x14ac:dyDescent="0.2">
      <c r="B78" s="1568"/>
    </row>
    <row r="80" spans="1:10" x14ac:dyDescent="0.2">
      <c r="A80" s="11"/>
      <c r="B80" s="66"/>
    </row>
    <row r="83" spans="5:12" ht="36.6" customHeight="1" x14ac:dyDescent="0.2"/>
    <row r="86" spans="5:12" x14ac:dyDescent="0.2">
      <c r="E86" s="1509"/>
      <c r="F86" s="1559"/>
    </row>
    <row r="87" spans="5:12" x14ac:dyDescent="0.2">
      <c r="F87" s="1559"/>
      <c r="H87" s="1572"/>
    </row>
    <row r="91" spans="5:12" x14ac:dyDescent="0.2">
      <c r="I91" s="1496"/>
      <c r="J91" s="1496"/>
      <c r="K91" s="1496"/>
    </row>
    <row r="92" spans="5:12" ht="15.75" x14ac:dyDescent="0.25">
      <c r="G92" s="1573"/>
      <c r="H92" s="1573"/>
      <c r="I92" s="1573"/>
      <c r="J92" s="1573"/>
      <c r="K92" s="1573"/>
      <c r="L92" s="1496"/>
    </row>
    <row r="93" spans="5:12" ht="15.75" x14ac:dyDescent="0.25">
      <c r="G93" s="1573"/>
      <c r="H93" s="1573"/>
      <c r="I93" s="1573"/>
      <c r="J93" s="1573"/>
      <c r="K93" s="1573"/>
      <c r="L93" s="1573"/>
    </row>
    <row r="94" spans="5:12" ht="15.75" x14ac:dyDescent="0.25">
      <c r="I94" s="1496"/>
      <c r="J94" s="1496"/>
      <c r="K94" s="1496"/>
      <c r="L94" s="1573"/>
    </row>
    <row r="95" spans="5:12" x14ac:dyDescent="0.2">
      <c r="I95" s="1496"/>
      <c r="J95" s="1496"/>
      <c r="K95" s="1496"/>
      <c r="L95" s="1496"/>
    </row>
    <row r="96" spans="5:12" x14ac:dyDescent="0.2">
      <c r="I96" s="1496"/>
      <c r="J96" s="1496"/>
      <c r="K96" s="1496"/>
      <c r="L96" s="1496"/>
    </row>
    <row r="97" spans="12:12" x14ac:dyDescent="0.2">
      <c r="L97" s="1496"/>
    </row>
  </sheetData>
  <mergeCells count="25">
    <mergeCell ref="E54:H54"/>
    <mergeCell ref="B1:G1"/>
    <mergeCell ref="B2:B3"/>
    <mergeCell ref="C2:C3"/>
    <mergeCell ref="B24:B25"/>
    <mergeCell ref="C24:C25"/>
    <mergeCell ref="E24:E25"/>
    <mergeCell ref="E43:G43"/>
    <mergeCell ref="E44:G44"/>
    <mergeCell ref="B56:B59"/>
    <mergeCell ref="B61:B65"/>
    <mergeCell ref="Z24:Z25"/>
    <mergeCell ref="N24:N25"/>
    <mergeCell ref="O24:O25"/>
    <mergeCell ref="Q24:Q25"/>
    <mergeCell ref="R24:R25"/>
    <mergeCell ref="T24:T25"/>
    <mergeCell ref="U24:U25"/>
    <mergeCell ref="W24:W25"/>
    <mergeCell ref="X24:X25"/>
    <mergeCell ref="K24:K25"/>
    <mergeCell ref="F24:F25"/>
    <mergeCell ref="H24:H25"/>
    <mergeCell ref="I24:I25"/>
    <mergeCell ref="L24:L25"/>
  </mergeCells>
  <phoneticPr fontId="0" type="noConversion"/>
  <printOptions horizontalCentered="1" verticalCentered="1"/>
  <pageMargins left="0.47244094488188981" right="0.35433070866141736" top="0.6692913385826772" bottom="0.74803149606299213" header="0" footer="0"/>
  <pageSetup scale="80" orientation="landscape" r:id="rId1"/>
  <headerFooter alignWithMargins="0">
    <oddFooter>&amp;LARCHIVO: MRN/&amp;FHOJA: &amp;A&amp;R&amp;D</oddFooter>
  </headerFooter>
  <ignoredErrors>
    <ignoredError sqref="F19 F20" numberStoredAsText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-0.249977111117893"/>
  </sheetPr>
  <dimension ref="B1:AA96"/>
  <sheetViews>
    <sheetView showGridLines="0" topLeftCell="A2" zoomScale="70" zoomScaleNormal="70" workbookViewId="0">
      <selection activeCell="D33" sqref="D33:D36"/>
    </sheetView>
  </sheetViews>
  <sheetFormatPr baseColWidth="10" defaultColWidth="11.42578125" defaultRowHeight="15" x14ac:dyDescent="0.2"/>
  <cols>
    <col min="1" max="1" width="2.7109375" style="5" customWidth="1"/>
    <col min="2" max="2" width="44.7109375" style="5" customWidth="1"/>
    <col min="3" max="3" width="16.28515625" style="5" customWidth="1"/>
    <col min="4" max="4" width="11.42578125" style="5"/>
    <col min="5" max="5" width="27.7109375" style="5" customWidth="1"/>
    <col min="6" max="6" width="22" style="5" customWidth="1"/>
    <col min="7" max="7" width="23" style="94" customWidth="1"/>
    <col min="8" max="8" width="22" style="5" customWidth="1"/>
    <col min="9" max="9" width="31" style="725" customWidth="1"/>
    <col min="10" max="11" width="19.28515625" style="725" customWidth="1"/>
    <col min="12" max="12" width="15.7109375" style="725" customWidth="1"/>
    <col min="13" max="13" width="19.5703125" style="725" customWidth="1"/>
    <col min="14" max="14" width="11.42578125" style="725"/>
    <col min="15" max="16" width="17.5703125" style="725" customWidth="1"/>
    <col min="17" max="17" width="14.28515625" style="725" bestFit="1" customWidth="1"/>
    <col min="18" max="18" width="15.28515625" style="725" customWidth="1"/>
    <col min="19" max="19" width="16" style="725" bestFit="1" customWidth="1"/>
    <col min="20" max="21" width="11.42578125" style="725"/>
    <col min="22" max="23" width="24.42578125" style="725" customWidth="1"/>
    <col min="24" max="27" width="24.42578125" style="5" customWidth="1"/>
    <col min="28" max="16384" width="11.42578125" style="5"/>
  </cols>
  <sheetData>
    <row r="1" spans="2:18" ht="18" x14ac:dyDescent="0.25">
      <c r="B1" s="1691" t="s">
        <v>12</v>
      </c>
      <c r="C1" s="1691"/>
      <c r="D1" s="1691"/>
      <c r="E1" s="1691"/>
      <c r="F1" s="1691"/>
      <c r="G1" s="25"/>
    </row>
    <row r="2" spans="2:18" ht="15.75" x14ac:dyDescent="0.25">
      <c r="B2" s="1691" t="s">
        <v>88</v>
      </c>
      <c r="C2" s="1691"/>
      <c r="D2" s="1691"/>
      <c r="E2" s="1691"/>
      <c r="F2" s="1691"/>
    </row>
    <row r="3" spans="2:18" x14ac:dyDescent="0.2">
      <c r="B3" s="1748" t="s">
        <v>71</v>
      </c>
      <c r="C3" s="1748"/>
      <c r="D3" s="1748"/>
      <c r="E3" s="1748"/>
      <c r="F3" s="1748"/>
      <c r="G3" s="12"/>
    </row>
    <row r="4" spans="2:18" ht="15.75" thickBot="1" x14ac:dyDescent="0.25">
      <c r="B4" s="1741" t="s">
        <v>76</v>
      </c>
      <c r="C4" s="1741"/>
      <c r="D4" s="1741"/>
      <c r="E4" s="1741"/>
      <c r="F4" s="1741"/>
      <c r="H4" s="728"/>
      <c r="I4" s="726"/>
    </row>
    <row r="5" spans="2:18" ht="34.9" customHeight="1" thickBot="1" x14ac:dyDescent="0.25">
      <c r="B5" s="1746" t="s">
        <v>28</v>
      </c>
      <c r="C5" s="1744" t="s">
        <v>16</v>
      </c>
      <c r="D5" s="1745"/>
      <c r="E5" s="1739" t="s">
        <v>143</v>
      </c>
      <c r="F5" s="1740"/>
      <c r="H5" s="727"/>
      <c r="I5" s="1076"/>
      <c r="J5" s="727"/>
      <c r="L5" s="727"/>
      <c r="N5" s="727"/>
      <c r="O5" s="1076"/>
    </row>
    <row r="6" spans="2:18" ht="15.75" thickBot="1" x14ac:dyDescent="0.25">
      <c r="B6" s="1747"/>
      <c r="C6" s="126" t="s">
        <v>79</v>
      </c>
      <c r="D6" s="127" t="s">
        <v>66</v>
      </c>
      <c r="E6" s="127" t="s">
        <v>41</v>
      </c>
      <c r="F6" s="128" t="s">
        <v>42</v>
      </c>
      <c r="H6" s="727"/>
      <c r="I6" s="1076"/>
      <c r="J6" s="727"/>
      <c r="L6" s="727"/>
      <c r="N6" s="727"/>
      <c r="O6" s="1076"/>
    </row>
    <row r="7" spans="2:18" ht="13.5" customHeight="1" x14ac:dyDescent="0.2">
      <c r="B7" s="1386" t="s">
        <v>294</v>
      </c>
      <c r="C7" s="1069" t="s">
        <v>77</v>
      </c>
      <c r="D7" s="967">
        <v>300</v>
      </c>
      <c r="E7" s="1654">
        <f>+'VNR APROBADO'!E43*21.2616332442544%</f>
        <v>1333647.328046012</v>
      </c>
      <c r="F7" s="968"/>
      <c r="G7" s="741"/>
      <c r="H7" s="1077"/>
      <c r="I7" s="1076"/>
      <c r="J7" s="727"/>
      <c r="O7" s="1076"/>
    </row>
    <row r="8" spans="2:18" x14ac:dyDescent="0.2">
      <c r="B8" s="1387" t="s">
        <v>294</v>
      </c>
      <c r="C8" s="1070" t="s">
        <v>77</v>
      </c>
      <c r="D8" s="293"/>
      <c r="E8" s="18"/>
      <c r="F8" s="18"/>
      <c r="G8" s="741"/>
      <c r="H8" s="1078"/>
      <c r="I8" s="1075"/>
      <c r="J8" s="727"/>
      <c r="K8" s="19"/>
      <c r="L8" s="727"/>
    </row>
    <row r="9" spans="2:18" x14ac:dyDescent="0.2">
      <c r="B9" s="1387" t="s">
        <v>519</v>
      </c>
      <c r="C9" s="17" t="s">
        <v>78</v>
      </c>
      <c r="D9" s="293"/>
      <c r="E9" s="1607"/>
      <c r="F9" s="18"/>
      <c r="G9" s="1454"/>
      <c r="H9" s="1074"/>
      <c r="I9" s="727"/>
    </row>
    <row r="10" spans="2:18" x14ac:dyDescent="0.2">
      <c r="B10" s="1387" t="s">
        <v>43</v>
      </c>
      <c r="C10" s="17" t="s">
        <v>78</v>
      </c>
      <c r="D10" s="1669">
        <v>3</v>
      </c>
      <c r="E10" s="1652">
        <f>+'VNR APROBADO'!D43</f>
        <v>8393200.1777465604</v>
      </c>
      <c r="F10" s="18">
        <f t="shared" ref="F10:F13" si="0">E10/D10</f>
        <v>2797733.392582187</v>
      </c>
      <c r="G10" s="271"/>
      <c r="J10" s="717"/>
    </row>
    <row r="11" spans="2:18" ht="15.75" thickBot="1" x14ac:dyDescent="0.25">
      <c r="B11" s="1388" t="s">
        <v>44</v>
      </c>
      <c r="C11" s="1146" t="s">
        <v>78</v>
      </c>
      <c r="D11" s="1668">
        <v>4</v>
      </c>
      <c r="E11" s="1653">
        <f>+'VNR APROBADO'!E43-E7</f>
        <v>4938906.208763808</v>
      </c>
      <c r="F11" s="1144">
        <f t="shared" si="0"/>
        <v>1234726.552190952</v>
      </c>
      <c r="G11" s="248"/>
      <c r="H11" s="249"/>
      <c r="I11" s="727"/>
    </row>
    <row r="12" spans="2:18" x14ac:dyDescent="0.2">
      <c r="B12" s="1386" t="s">
        <v>45</v>
      </c>
      <c r="C12" s="1142" t="s">
        <v>78</v>
      </c>
      <c r="D12" s="967">
        <v>1</v>
      </c>
      <c r="E12" s="1450">
        <f>+'VNR APROBADO'!D45</f>
        <v>1313650.1315770911</v>
      </c>
      <c r="F12" s="968">
        <f t="shared" si="0"/>
        <v>1313650.1315770911</v>
      </c>
      <c r="G12" s="248"/>
      <c r="H12" s="19"/>
      <c r="J12" s="717"/>
    </row>
    <row r="13" spans="2:18" x14ac:dyDescent="0.2">
      <c r="B13" s="1387" t="s">
        <v>46</v>
      </c>
      <c r="C13" s="17" t="s">
        <v>78</v>
      </c>
      <c r="D13" s="1673">
        <v>4</v>
      </c>
      <c r="E13" s="1451">
        <f>+'VNR APROBADO'!E45</f>
        <v>7521236.1701460332</v>
      </c>
      <c r="F13" s="18">
        <f t="shared" si="0"/>
        <v>1880309.0425365083</v>
      </c>
      <c r="G13" s="248"/>
      <c r="H13" s="249"/>
      <c r="I13" s="727"/>
      <c r="P13" s="1073"/>
      <c r="Q13" s="727"/>
      <c r="R13" s="727"/>
    </row>
    <row r="14" spans="2:18" ht="15.75" thickBot="1" x14ac:dyDescent="0.25">
      <c r="B14" s="1388" t="s">
        <v>289</v>
      </c>
      <c r="C14" s="1146"/>
      <c r="D14" s="1668"/>
      <c r="E14" s="1144"/>
      <c r="F14" s="1144"/>
      <c r="G14" s="248"/>
      <c r="H14" s="249"/>
      <c r="J14" s="717"/>
      <c r="P14" s="1073"/>
      <c r="Q14" s="727"/>
      <c r="R14" s="727"/>
    </row>
    <row r="15" spans="2:18" ht="12.75" customHeight="1" x14ac:dyDescent="0.2">
      <c r="B15" s="1389" t="s">
        <v>47</v>
      </c>
      <c r="C15" s="1142" t="s">
        <v>78</v>
      </c>
      <c r="D15" s="967"/>
      <c r="E15" s="1148"/>
      <c r="F15" s="968"/>
      <c r="G15" s="1456"/>
      <c r="H15" s="1457"/>
      <c r="I15" s="727"/>
      <c r="P15" s="1072"/>
      <c r="Q15" s="1072"/>
      <c r="R15" s="727"/>
    </row>
    <row r="16" spans="2:18" ht="15.75" thickBot="1" x14ac:dyDescent="0.25">
      <c r="B16" s="1390" t="s">
        <v>48</v>
      </c>
      <c r="C16" s="1143" t="s">
        <v>77</v>
      </c>
      <c r="D16" s="1674">
        <v>24</v>
      </c>
      <c r="E16" s="1604">
        <f>+'VNR APROBADO'!D47</f>
        <v>2522298.6042971867</v>
      </c>
      <c r="F16" s="1144">
        <f>E16/D16</f>
        <v>105095.77517904945</v>
      </c>
      <c r="G16" s="1456"/>
      <c r="H16" s="1457"/>
      <c r="J16" s="717"/>
      <c r="Q16" s="1072"/>
    </row>
    <row r="17" spans="2:19" ht="15.75" thickBot="1" x14ac:dyDescent="0.25">
      <c r="B17" s="1391" t="s">
        <v>49</v>
      </c>
      <c r="C17" s="1151" t="s">
        <v>78</v>
      </c>
      <c r="D17" s="1667">
        <v>4</v>
      </c>
      <c r="E17" s="1152">
        <f>+'VNR APROBADO'!E44</f>
        <v>15476646.88118542</v>
      </c>
      <c r="F17" s="1153">
        <f t="shared" ref="F17:F18" si="1">E17/D17</f>
        <v>3869161.720296355</v>
      </c>
      <c r="G17" s="248"/>
      <c r="H17" s="19"/>
      <c r="I17" s="727"/>
      <c r="Q17" s="1072"/>
    </row>
    <row r="18" spans="2:19" x14ac:dyDescent="0.2">
      <c r="B18" s="1392" t="s">
        <v>50</v>
      </c>
      <c r="C18" s="1149" t="s">
        <v>78</v>
      </c>
      <c r="D18" s="1666">
        <v>6</v>
      </c>
      <c r="E18" s="1650">
        <f>+'VNR APROBADO'!E41-E21</f>
        <v>10765696.404890513</v>
      </c>
      <c r="F18" s="1150">
        <f t="shared" si="1"/>
        <v>1794282.7341484188</v>
      </c>
      <c r="G18" s="248"/>
      <c r="H18" s="19"/>
      <c r="J18" s="717"/>
    </row>
    <row r="19" spans="2:19" x14ac:dyDescent="0.2">
      <c r="B19" s="1393" t="s">
        <v>51</v>
      </c>
      <c r="C19" s="1140" t="s">
        <v>78</v>
      </c>
      <c r="D19" s="1665"/>
      <c r="E19" s="1452"/>
      <c r="F19" s="1141"/>
      <c r="G19" s="1455"/>
      <c r="H19" s="271"/>
      <c r="I19" s="727"/>
    </row>
    <row r="20" spans="2:19" x14ac:dyDescent="0.2">
      <c r="B20" s="1387" t="s">
        <v>295</v>
      </c>
      <c r="C20" s="1070" t="s">
        <v>77</v>
      </c>
      <c r="D20" s="293"/>
      <c r="E20" s="1453"/>
      <c r="F20" s="18"/>
      <c r="G20" s="291"/>
      <c r="H20" s="292"/>
      <c r="J20" s="717"/>
      <c r="Q20" s="727"/>
      <c r="S20" s="727"/>
    </row>
    <row r="21" spans="2:19" ht="15.75" thickBot="1" x14ac:dyDescent="0.25">
      <c r="B21" s="1388" t="s">
        <v>295</v>
      </c>
      <c r="C21" s="1143" t="s">
        <v>77</v>
      </c>
      <c r="D21" s="1668">
        <v>300</v>
      </c>
      <c r="E21" s="1651">
        <f>+'VNR APROBADO'!E41*22.4690023102828%</f>
        <v>3119970.9097174462</v>
      </c>
      <c r="F21" s="1144"/>
      <c r="G21" s="291"/>
      <c r="H21" s="292"/>
      <c r="I21" s="727"/>
    </row>
    <row r="22" spans="2:19" ht="15.75" thickBot="1" x14ac:dyDescent="0.25">
      <c r="B22" s="1394" t="s">
        <v>290</v>
      </c>
      <c r="C22" s="1154" t="s">
        <v>78</v>
      </c>
      <c r="D22" s="1663">
        <v>1</v>
      </c>
      <c r="E22" s="1156">
        <f>+'VNR APROBADO'!C42</f>
        <v>0</v>
      </c>
      <c r="F22" s="1155">
        <f>E22/D22</f>
        <v>0</v>
      </c>
      <c r="G22" s="248"/>
      <c r="H22" s="19"/>
      <c r="J22" s="717"/>
      <c r="P22" s="727"/>
    </row>
    <row r="23" spans="2:19" x14ac:dyDescent="0.2">
      <c r="B23" s="1386" t="s">
        <v>128</v>
      </c>
      <c r="C23" s="1142" t="s">
        <v>78</v>
      </c>
      <c r="D23" s="967"/>
      <c r="E23" s="1640"/>
      <c r="F23" s="968"/>
      <c r="G23" s="248"/>
      <c r="H23" s="271"/>
      <c r="I23" s="727"/>
    </row>
    <row r="24" spans="2:19" ht="16.5" customHeight="1" thickBot="1" x14ac:dyDescent="0.25">
      <c r="B24" s="1388" t="s">
        <v>92</v>
      </c>
      <c r="C24" s="1146" t="s">
        <v>78</v>
      </c>
      <c r="D24" s="1668">
        <v>2</v>
      </c>
      <c r="E24" s="1641">
        <f>+'VNR APROBADO'!D46+'VNR APROBADO'!E46</f>
        <v>4215070.7546636537</v>
      </c>
      <c r="F24" s="1144">
        <f>E24/D24</f>
        <v>2107535.3773318268</v>
      </c>
      <c r="G24" s="248"/>
      <c r="H24" s="271"/>
      <c r="J24" s="717"/>
    </row>
    <row r="25" spans="2:19" ht="16.5" customHeight="1" x14ac:dyDescent="0.2">
      <c r="B25" s="1391" t="s">
        <v>191</v>
      </c>
      <c r="C25" s="1151" t="s">
        <v>78</v>
      </c>
      <c r="D25" s="1664">
        <v>2</v>
      </c>
      <c r="E25" s="1642">
        <f>+'VNR APROBADO'!D48</f>
        <v>6168078.6568704201</v>
      </c>
      <c r="F25" s="1152">
        <f t="shared" ref="F25:F27" si="2">E25/D25</f>
        <v>3084039.32843521</v>
      </c>
      <c r="G25" s="248"/>
      <c r="H25" s="271"/>
      <c r="I25" s="727"/>
    </row>
    <row r="26" spans="2:19" ht="16.5" customHeight="1" x14ac:dyDescent="0.2">
      <c r="B26" s="1391" t="s">
        <v>665</v>
      </c>
      <c r="C26" s="864" t="s">
        <v>78</v>
      </c>
      <c r="D26" s="1662">
        <v>2</v>
      </c>
      <c r="E26" s="1642">
        <f>+'VNR APROBADO'!D49</f>
        <v>6258544.3634684775</v>
      </c>
      <c r="F26" s="1071">
        <f t="shared" si="2"/>
        <v>3129272.1817342388</v>
      </c>
      <c r="G26" s="248"/>
      <c r="H26" s="271"/>
      <c r="J26" s="717"/>
      <c r="P26" s="5"/>
    </row>
    <row r="27" spans="2:19" ht="16.5" customHeight="1" x14ac:dyDescent="0.2">
      <c r="B27" s="1384" t="s">
        <v>952</v>
      </c>
      <c r="C27" s="1385" t="s">
        <v>78</v>
      </c>
      <c r="D27" s="1672">
        <v>4</v>
      </c>
      <c r="E27" s="1642">
        <f>+'VNR APROBADO'!D40</f>
        <v>6935705.9100000001</v>
      </c>
      <c r="F27" s="1071">
        <f t="shared" si="2"/>
        <v>1733926.4775</v>
      </c>
      <c r="G27" s="248"/>
      <c r="H27" s="271"/>
      <c r="J27" s="717"/>
      <c r="P27" s="5"/>
    </row>
    <row r="28" spans="2:19" ht="16.5" customHeight="1" x14ac:dyDescent="0.2">
      <c r="B28" s="865"/>
      <c r="C28" s="1742" t="s">
        <v>612</v>
      </c>
      <c r="D28" s="1742"/>
      <c r="E28" s="866">
        <f>SUM(E7:E27)</f>
        <v>78962652.50137262</v>
      </c>
      <c r="F28" s="867">
        <f>SUM(F7:F27)</f>
        <v>23049732.713511836</v>
      </c>
      <c r="G28" s="248"/>
      <c r="H28" s="271"/>
      <c r="I28" s="727"/>
      <c r="P28" s="5"/>
    </row>
    <row r="29" spans="2:19" ht="16.5" customHeight="1" x14ac:dyDescent="0.2">
      <c r="B29" s="868" t="s">
        <v>611</v>
      </c>
      <c r="C29" s="869"/>
      <c r="D29" s="869"/>
      <c r="E29" s="866"/>
      <c r="F29" s="870"/>
      <c r="G29" s="248"/>
      <c r="H29" s="271"/>
      <c r="J29" s="717"/>
      <c r="P29" s="5"/>
    </row>
    <row r="30" spans="2:19" ht="16.5" customHeight="1" x14ac:dyDescent="0.2">
      <c r="B30" s="865" t="s">
        <v>893</v>
      </c>
      <c r="C30" s="1643" t="s">
        <v>892</v>
      </c>
      <c r="D30" s="1644">
        <v>16.399999999999999</v>
      </c>
      <c r="E30" s="1645">
        <f>+'VNR APROBADO'!S83</f>
        <v>11383075.6556</v>
      </c>
      <c r="F30" s="18">
        <f t="shared" ref="F30:F31" si="3">E30/D30</f>
        <v>694089.97900000005</v>
      </c>
      <c r="G30" s="248"/>
      <c r="H30" s="271"/>
      <c r="J30" s="717"/>
      <c r="P30" s="5"/>
    </row>
    <row r="31" spans="2:19" ht="16.5" customHeight="1" x14ac:dyDescent="0.2">
      <c r="B31" s="865" t="s">
        <v>895</v>
      </c>
      <c r="C31" s="1643" t="s">
        <v>894</v>
      </c>
      <c r="D31" s="1644">
        <v>16.45</v>
      </c>
      <c r="E31" s="1645">
        <f>+'VNR APROBADO'!S84</f>
        <v>11417780.154549999</v>
      </c>
      <c r="F31" s="18">
        <f t="shared" si="3"/>
        <v>694089.97899999993</v>
      </c>
      <c r="G31" s="248"/>
      <c r="H31" s="271"/>
      <c r="J31" s="717"/>
      <c r="P31" s="5"/>
    </row>
    <row r="32" spans="2:19" ht="16.5" customHeight="1" x14ac:dyDescent="0.2">
      <c r="B32" s="865" t="s">
        <v>897</v>
      </c>
      <c r="C32" s="1643" t="s">
        <v>896</v>
      </c>
      <c r="D32" s="1644">
        <v>1.1200000000000001</v>
      </c>
      <c r="E32" s="1645">
        <f>+'VNR APROBADO'!S85</f>
        <v>777380.77647999988</v>
      </c>
      <c r="F32" s="18">
        <f>+E32/D32</f>
        <v>694089.97899999982</v>
      </c>
      <c r="G32" s="248"/>
      <c r="H32" s="271"/>
      <c r="J32" s="717"/>
      <c r="P32" s="5"/>
    </row>
    <row r="33" spans="2:27" ht="16.5" customHeight="1" x14ac:dyDescent="0.25">
      <c r="B33" s="865" t="s">
        <v>255</v>
      </c>
      <c r="C33" s="871" t="s">
        <v>254</v>
      </c>
      <c r="D33" s="1646">
        <v>6.18</v>
      </c>
      <c r="E33" s="866">
        <f>+'VNR APROBADO'!S87</f>
        <v>1822691.4772799998</v>
      </c>
      <c r="F33" s="18">
        <f>E33/D33</f>
        <v>294933.89599999995</v>
      </c>
      <c r="G33" s="248"/>
      <c r="H33" s="271"/>
    </row>
    <row r="34" spans="2:27" ht="16.5" customHeight="1" x14ac:dyDescent="0.25">
      <c r="B34" s="865" t="s">
        <v>258</v>
      </c>
      <c r="C34" s="871" t="s">
        <v>257</v>
      </c>
      <c r="D34" s="1644">
        <v>1.7</v>
      </c>
      <c r="E34" s="866">
        <f>+'VNR APROBADO'!S88</f>
        <v>501387.62319999997</v>
      </c>
      <c r="F34" s="18">
        <f t="shared" ref="F34:F35" si="4">E34/D34</f>
        <v>294933.89600000001</v>
      </c>
      <c r="G34" s="248"/>
      <c r="H34" s="271"/>
      <c r="J34" s="717"/>
    </row>
    <row r="35" spans="2:27" ht="16.5" customHeight="1" x14ac:dyDescent="0.25">
      <c r="B35" s="865" t="s">
        <v>261</v>
      </c>
      <c r="C35" s="871" t="s">
        <v>260</v>
      </c>
      <c r="D35" s="1644">
        <v>0.5</v>
      </c>
      <c r="E35" s="866">
        <f>+'VNR APROBADO'!S89</f>
        <v>147466.948</v>
      </c>
      <c r="F35" s="18">
        <f t="shared" si="4"/>
        <v>294933.89600000001</v>
      </c>
      <c r="G35" s="248"/>
      <c r="H35" s="271"/>
    </row>
    <row r="36" spans="2:27" ht="16.5" customHeight="1" x14ac:dyDescent="0.25">
      <c r="B36" s="865" t="s">
        <v>264</v>
      </c>
      <c r="C36" s="871" t="s">
        <v>263</v>
      </c>
      <c r="D36" s="1644">
        <v>27.75</v>
      </c>
      <c r="E36" s="866">
        <f>+'VNR APROBADO'!S90</f>
        <v>8184415.6139999982</v>
      </c>
      <c r="F36" s="18">
        <f>E36/D36</f>
        <v>294933.89599999995</v>
      </c>
      <c r="G36" s="248"/>
      <c r="H36" s="271"/>
      <c r="J36" s="717"/>
    </row>
    <row r="37" spans="2:27" ht="16.5" customHeight="1" thickBot="1" x14ac:dyDescent="0.25">
      <c r="B37" s="872"/>
      <c r="C37" s="1743" t="s">
        <v>613</v>
      </c>
      <c r="D37" s="1743"/>
      <c r="E37" s="873">
        <f>SUM(E30:E36)</f>
        <v>34234198.249109991</v>
      </c>
      <c r="F37" s="874">
        <f>SUM(F30:F36)</f>
        <v>3262005.5209999997</v>
      </c>
      <c r="G37" s="248"/>
      <c r="H37" s="271"/>
    </row>
    <row r="38" spans="2:27" ht="16.5" customHeight="1" thickBot="1" x14ac:dyDescent="0.25">
      <c r="C38" s="94"/>
      <c r="D38" s="94"/>
      <c r="E38" s="786"/>
      <c r="F38" s="787"/>
      <c r="G38" s="248"/>
      <c r="H38" s="271"/>
      <c r="J38" s="717"/>
    </row>
    <row r="39" spans="2:27" ht="16.5" thickBot="1" x14ac:dyDescent="0.3">
      <c r="B39" s="1737" t="s">
        <v>80</v>
      </c>
      <c r="C39" s="1737"/>
      <c r="D39" s="1738"/>
      <c r="E39" s="129">
        <f>+E37+E28</f>
        <v>113196850.75048262</v>
      </c>
      <c r="F39" s="129">
        <f>+F37+F28</f>
        <v>26311738.234511837</v>
      </c>
      <c r="G39" s="248"/>
      <c r="H39" s="271"/>
      <c r="I39" s="727"/>
    </row>
    <row r="40" spans="2:27" ht="15.75" thickBot="1" x14ac:dyDescent="0.25">
      <c r="F40" s="19"/>
      <c r="G40" s="248"/>
      <c r="H40" s="271"/>
      <c r="I40" s="730"/>
      <c r="J40" s="730"/>
      <c r="K40" s="729"/>
    </row>
    <row r="41" spans="2:27" ht="16.5" thickBot="1" x14ac:dyDescent="0.3">
      <c r="B41" s="130" t="s">
        <v>52</v>
      </c>
      <c r="C41" s="130"/>
      <c r="D41" s="130" t="s">
        <v>2</v>
      </c>
      <c r="E41" s="130" t="s">
        <v>41</v>
      </c>
      <c r="F41" s="131" t="s">
        <v>53</v>
      </c>
      <c r="G41" s="510"/>
      <c r="H41" s="510"/>
      <c r="I41" s="730"/>
      <c r="J41" s="730"/>
      <c r="K41" s="729"/>
      <c r="W41" s="731" t="s">
        <v>288</v>
      </c>
    </row>
    <row r="42" spans="2:27" x14ac:dyDescent="0.2">
      <c r="B42" s="20" t="str">
        <f>B7</f>
        <v>Llano Sánchez Transformador 100MVA</v>
      </c>
      <c r="C42" s="20"/>
      <c r="D42" s="29">
        <f>+D7</f>
        <v>300</v>
      </c>
      <c r="E42" s="30">
        <f>+E7</f>
        <v>1333647.328046012</v>
      </c>
      <c r="F42" s="113">
        <f>+E42/D42</f>
        <v>4445.4910934867066</v>
      </c>
      <c r="G42" s="5"/>
      <c r="H42" s="510"/>
      <c r="I42" s="730"/>
      <c r="J42" s="730"/>
      <c r="K42" s="729"/>
      <c r="W42" s="716" t="s">
        <v>273</v>
      </c>
      <c r="X42" s="245" t="s">
        <v>250</v>
      </c>
      <c r="Y42" s="246" t="s">
        <v>274</v>
      </c>
      <c r="Z42" s="246"/>
      <c r="AA42" s="246"/>
    </row>
    <row r="43" spans="2:27" x14ac:dyDescent="0.2">
      <c r="B43" s="21" t="str">
        <f>B8</f>
        <v>Llano Sánchez Transformador 100MVA</v>
      </c>
      <c r="C43" s="21"/>
      <c r="D43" s="38"/>
      <c r="E43" s="35"/>
      <c r="F43" s="35"/>
      <c r="G43" s="510"/>
      <c r="H43" s="510"/>
      <c r="I43" s="730"/>
      <c r="J43" s="730"/>
      <c r="K43" s="729"/>
      <c r="V43" s="732"/>
      <c r="W43" s="716"/>
      <c r="X43" s="245"/>
      <c r="Y43" s="246" t="s">
        <v>11</v>
      </c>
      <c r="Z43" s="246" t="s">
        <v>275</v>
      </c>
      <c r="AA43" s="246" t="s">
        <v>276</v>
      </c>
    </row>
    <row r="44" spans="2:27" x14ac:dyDescent="0.2">
      <c r="B44" s="21" t="str">
        <f>B20</f>
        <v>Chorrera Transformador 100MVA</v>
      </c>
      <c r="C44" s="21"/>
      <c r="D44" s="38"/>
      <c r="E44" s="35"/>
      <c r="F44" s="35"/>
      <c r="G44" s="5"/>
      <c r="H44" s="510"/>
      <c r="I44" s="730"/>
      <c r="J44" s="730"/>
      <c r="K44" s="729"/>
      <c r="V44" s="733"/>
      <c r="W44" s="716" t="s">
        <v>277</v>
      </c>
      <c r="X44" s="245">
        <v>13042511.423302801</v>
      </c>
      <c r="Y44" s="246">
        <v>11000880.043140713</v>
      </c>
      <c r="Z44" s="246">
        <v>6296770.5335651999</v>
      </c>
      <c r="AA44" s="246">
        <v>4704109.5095755132</v>
      </c>
    </row>
    <row r="45" spans="2:27" x14ac:dyDescent="0.2">
      <c r="B45" s="21" t="str">
        <f>+B21</f>
        <v>Chorrera Transformador 100MVA</v>
      </c>
      <c r="C45" s="91"/>
      <c r="D45" s="92">
        <f>+D21</f>
        <v>300</v>
      </c>
      <c r="E45" s="35">
        <f>+E21</f>
        <v>3119970.9097174462</v>
      </c>
      <c r="F45" s="35">
        <f t="shared" ref="F45:F46" si="5">+E45/D45</f>
        <v>10399.903032391487</v>
      </c>
      <c r="G45" s="510"/>
      <c r="H45" s="510"/>
      <c r="I45" s="730"/>
      <c r="J45" s="730"/>
      <c r="K45" s="729"/>
      <c r="V45" s="733"/>
      <c r="W45" s="716"/>
      <c r="X45" s="245"/>
      <c r="Y45" s="246"/>
      <c r="Z45" s="246"/>
      <c r="AA45" s="246"/>
    </row>
    <row r="46" spans="2:27" ht="15.75" thickBot="1" x14ac:dyDescent="0.25">
      <c r="B46" s="22" t="s">
        <v>48</v>
      </c>
      <c r="C46" s="22"/>
      <c r="D46" s="44">
        <f>+D16</f>
        <v>24</v>
      </c>
      <c r="E46" s="31">
        <f>+E16</f>
        <v>2522298.6042971867</v>
      </c>
      <c r="F46" s="31">
        <f t="shared" si="5"/>
        <v>105095.77517904945</v>
      </c>
      <c r="G46" s="510"/>
      <c r="H46" s="510"/>
      <c r="I46" s="730"/>
      <c r="J46" s="730"/>
      <c r="K46" s="729"/>
      <c r="V46" s="734">
        <v>10442596</v>
      </c>
      <c r="W46" s="716" t="s">
        <v>278</v>
      </c>
      <c r="X46" s="245">
        <v>7793257.5771326218</v>
      </c>
      <c r="Y46" s="246">
        <v>6234606.0617060978</v>
      </c>
      <c r="Z46" s="246"/>
      <c r="AA46" s="246">
        <v>6234606.0617060978</v>
      </c>
    </row>
    <row r="47" spans="2:27" x14ac:dyDescent="0.2">
      <c r="E47" s="23"/>
      <c r="F47" s="23"/>
      <c r="H47" s="510"/>
      <c r="I47" s="730"/>
      <c r="J47" s="730"/>
      <c r="K47" s="729"/>
      <c r="V47" s="735" t="e">
        <f>+V46/V44</f>
        <v>#DIV/0!</v>
      </c>
      <c r="W47" s="716" t="s">
        <v>279</v>
      </c>
      <c r="X47" s="245">
        <v>13408583.418864001</v>
      </c>
      <c r="Y47" s="246">
        <v>11377726.075198699</v>
      </c>
      <c r="Z47" s="246">
        <v>11181420.995565601</v>
      </c>
      <c r="AA47" s="246">
        <v>196305.0796330981</v>
      </c>
    </row>
    <row r="48" spans="2:27" ht="15.75" thickBot="1" x14ac:dyDescent="0.25">
      <c r="E48" s="24"/>
      <c r="F48" s="24"/>
      <c r="J48" s="730"/>
      <c r="K48" s="729"/>
    </row>
    <row r="49" spans="2:27" ht="15" customHeight="1" thickBot="1" x14ac:dyDescent="0.25">
      <c r="B49" s="131" t="s">
        <v>54</v>
      </c>
      <c r="C49" s="131"/>
      <c r="D49" s="131" t="s">
        <v>55</v>
      </c>
      <c r="E49" s="131" t="s">
        <v>41</v>
      </c>
      <c r="F49" s="131" t="s">
        <v>56</v>
      </c>
      <c r="G49" s="131" t="s">
        <v>57</v>
      </c>
      <c r="H49" s="131" t="s">
        <v>63</v>
      </c>
      <c r="J49" s="730"/>
      <c r="K49" s="729"/>
      <c r="V49" s="732"/>
      <c r="W49" s="716" t="s">
        <v>280</v>
      </c>
      <c r="X49" s="245">
        <v>6487434.8633179916</v>
      </c>
      <c r="Y49" s="246">
        <v>5189947.8906543935</v>
      </c>
      <c r="Z49" s="246"/>
      <c r="AA49" s="246">
        <v>5189947.8906543935</v>
      </c>
    </row>
    <row r="50" spans="2:27" ht="15" customHeight="1" x14ac:dyDescent="0.2">
      <c r="B50" s="20" t="s">
        <v>132</v>
      </c>
      <c r="C50" s="20"/>
      <c r="D50" s="29">
        <v>1</v>
      </c>
      <c r="E50" s="30">
        <f>+E22</f>
        <v>0</v>
      </c>
      <c r="F50" s="70">
        <f>+E50/D50</f>
        <v>0</v>
      </c>
      <c r="G50" s="256" t="s">
        <v>62</v>
      </c>
      <c r="H50" s="28" t="s">
        <v>10</v>
      </c>
      <c r="J50" s="730"/>
      <c r="K50" s="729"/>
      <c r="V50" s="732"/>
      <c r="W50" s="716"/>
      <c r="X50" s="245"/>
      <c r="Y50" s="246"/>
      <c r="Z50" s="246"/>
      <c r="AA50" s="246"/>
    </row>
    <row r="51" spans="2:27" x14ac:dyDescent="0.2">
      <c r="B51" s="21" t="str">
        <f>+B9</f>
        <v>Llano Sánchez 230</v>
      </c>
      <c r="C51" s="21"/>
      <c r="D51" s="38"/>
      <c r="E51" s="35"/>
      <c r="F51" s="35"/>
      <c r="G51" s="95"/>
      <c r="H51" s="27"/>
      <c r="J51" s="730"/>
      <c r="K51" s="729"/>
      <c r="V51" s="732"/>
      <c r="W51" s="716" t="s">
        <v>281</v>
      </c>
      <c r="X51" s="245">
        <v>2558971.1588577474</v>
      </c>
      <c r="Y51" s="246">
        <v>2047176.927086198</v>
      </c>
      <c r="Z51" s="246"/>
      <c r="AA51" s="246">
        <v>2047176.927086198</v>
      </c>
    </row>
    <row r="52" spans="2:27" ht="15.75" x14ac:dyDescent="0.25">
      <c r="B52" s="251" t="str">
        <f>B19</f>
        <v>Chorrera 230</v>
      </c>
      <c r="C52" s="91"/>
      <c r="D52" s="92"/>
      <c r="E52" s="718"/>
      <c r="F52" s="511"/>
      <c r="G52" s="95" t="s">
        <v>62</v>
      </c>
      <c r="H52" s="93"/>
      <c r="J52" s="730"/>
      <c r="K52" s="729"/>
      <c r="V52" s="732"/>
      <c r="W52" s="736" t="s">
        <v>282</v>
      </c>
      <c r="X52" s="247">
        <v>6333146.9132671673</v>
      </c>
      <c r="Y52" s="246">
        <v>5066517.5306137344</v>
      </c>
      <c r="Z52" s="246"/>
      <c r="AA52" s="246">
        <v>5066517.5306137344</v>
      </c>
    </row>
    <row r="53" spans="2:27" ht="15.75" x14ac:dyDescent="0.25">
      <c r="B53" s="250" t="s">
        <v>637</v>
      </c>
      <c r="C53" s="91"/>
      <c r="D53" s="92"/>
      <c r="E53" s="718"/>
      <c r="F53" s="71"/>
      <c r="G53" s="95"/>
      <c r="H53" s="93"/>
      <c r="J53" s="730"/>
      <c r="K53" s="729"/>
      <c r="V53" s="732"/>
      <c r="W53" s="736"/>
      <c r="X53" s="247"/>
      <c r="Y53" s="246"/>
      <c r="Z53" s="246"/>
      <c r="AA53" s="246"/>
    </row>
    <row r="54" spans="2:27" ht="15.75" x14ac:dyDescent="0.25">
      <c r="B54" s="250" t="s">
        <v>191</v>
      </c>
      <c r="C54" s="91"/>
      <c r="D54" s="92">
        <f t="shared" ref="D54:E56" si="6">+D25</f>
        <v>2</v>
      </c>
      <c r="E54" s="718">
        <f t="shared" si="6"/>
        <v>6168078.6568704201</v>
      </c>
      <c r="F54" s="71">
        <f t="shared" ref="F54:F56" si="7">+E54/D54</f>
        <v>3084039.32843521</v>
      </c>
      <c r="G54" s="95"/>
      <c r="H54" s="93"/>
      <c r="J54" s="730"/>
      <c r="K54" s="729"/>
      <c r="V54" s="732"/>
      <c r="W54" s="736"/>
      <c r="X54" s="247"/>
      <c r="Y54" s="246"/>
      <c r="Z54" s="246"/>
      <c r="AA54" s="246"/>
    </row>
    <row r="55" spans="2:27" ht="15.75" x14ac:dyDescent="0.25">
      <c r="B55" s="250" t="s">
        <v>665</v>
      </c>
      <c r="C55" s="91"/>
      <c r="D55" s="92">
        <f t="shared" si="6"/>
        <v>2</v>
      </c>
      <c r="E55" s="718">
        <f t="shared" si="6"/>
        <v>6258544.3634684775</v>
      </c>
      <c r="F55" s="71">
        <f t="shared" si="7"/>
        <v>3129272.1817342388</v>
      </c>
      <c r="G55" s="1382"/>
      <c r="H55" s="93"/>
      <c r="J55" s="730"/>
      <c r="K55" s="729"/>
      <c r="V55" s="732"/>
      <c r="W55" s="736"/>
      <c r="X55" s="247"/>
      <c r="Y55" s="246"/>
      <c r="Z55" s="246"/>
      <c r="AA55" s="246"/>
    </row>
    <row r="56" spans="2:27" ht="16.5" thickBot="1" x14ac:dyDescent="0.3">
      <c r="B56" s="1383" t="s">
        <v>952</v>
      </c>
      <c r="C56" s="22"/>
      <c r="D56" s="44">
        <f t="shared" si="6"/>
        <v>4</v>
      </c>
      <c r="E56" s="31">
        <f t="shared" si="6"/>
        <v>6935705.9100000001</v>
      </c>
      <c r="F56" s="34">
        <f t="shared" si="7"/>
        <v>1733926.4775</v>
      </c>
      <c r="G56" s="96"/>
      <c r="H56" s="26"/>
      <c r="J56" s="730"/>
      <c r="K56" s="729"/>
      <c r="V56" s="732"/>
      <c r="W56" s="736"/>
      <c r="X56" s="247"/>
      <c r="Y56" s="246"/>
      <c r="Z56" s="246"/>
      <c r="AA56" s="246"/>
    </row>
    <row r="57" spans="2:27" ht="16.5" thickBot="1" x14ac:dyDescent="0.3">
      <c r="E57" s="24"/>
      <c r="F57" s="24"/>
      <c r="J57" s="730"/>
      <c r="K57" s="729"/>
      <c r="V57" s="737">
        <v>7191366</v>
      </c>
      <c r="W57" s="736" t="s">
        <v>283</v>
      </c>
      <c r="X57" s="247">
        <v>1536662.7466114899</v>
      </c>
      <c r="Y57" s="246">
        <v>1229330.1972891919</v>
      </c>
      <c r="Z57" s="246"/>
      <c r="AA57" s="246">
        <v>1229330.1972891919</v>
      </c>
    </row>
    <row r="58" spans="2:27" ht="16.5" thickBot="1" x14ac:dyDescent="0.3">
      <c r="B58" s="131" t="s">
        <v>58</v>
      </c>
      <c r="C58" s="131"/>
      <c r="D58" s="131" t="s">
        <v>55</v>
      </c>
      <c r="E58" s="131" t="s">
        <v>41</v>
      </c>
      <c r="F58" s="133" t="s">
        <v>56</v>
      </c>
      <c r="G58" s="131" t="s">
        <v>57</v>
      </c>
      <c r="H58" s="133" t="s">
        <v>63</v>
      </c>
      <c r="J58" s="730"/>
      <c r="K58" s="729"/>
      <c r="V58" s="737">
        <v>7141394</v>
      </c>
      <c r="W58" s="736" t="s">
        <v>284</v>
      </c>
      <c r="X58" s="247">
        <v>4707024.8895701701</v>
      </c>
      <c r="Y58" s="246">
        <v>3765619.9116561362</v>
      </c>
      <c r="Z58" s="246"/>
      <c r="AA58" s="246">
        <v>3765619.9116561362</v>
      </c>
    </row>
    <row r="59" spans="2:27" ht="15.75" x14ac:dyDescent="0.25">
      <c r="B59" s="20" t="str">
        <f>B10</f>
        <v>Llano Sánchez 115</v>
      </c>
      <c r="C59" s="20"/>
      <c r="D59" s="29">
        <f>+D10</f>
        <v>3</v>
      </c>
      <c r="E59" s="30">
        <f>+E10</f>
        <v>8393200.1777465604</v>
      </c>
      <c r="F59" s="70">
        <f>+E59/D59</f>
        <v>2797733.392582187</v>
      </c>
      <c r="G59" s="256" t="s">
        <v>129</v>
      </c>
      <c r="H59" s="28"/>
      <c r="J59" s="730"/>
      <c r="K59" s="729"/>
      <c r="V59" s="737"/>
      <c r="W59" s="736"/>
      <c r="X59" s="247"/>
      <c r="Y59" s="246"/>
      <c r="Z59" s="246"/>
      <c r="AA59" s="246"/>
    </row>
    <row r="60" spans="2:27" ht="15.75" x14ac:dyDescent="0.25">
      <c r="B60" s="21" t="str">
        <f>B12</f>
        <v>Progreso 115</v>
      </c>
      <c r="C60" s="21"/>
      <c r="D60" s="38">
        <f>+D12</f>
        <v>1</v>
      </c>
      <c r="E60" s="35">
        <f>+E12</f>
        <v>1313650.1315770911</v>
      </c>
      <c r="F60" s="35">
        <f t="shared" ref="F60" si="8">+E60/D60</f>
        <v>1313650.1315770911</v>
      </c>
      <c r="G60" s="95" t="s">
        <v>59</v>
      </c>
      <c r="H60" s="27"/>
      <c r="J60" s="730"/>
      <c r="K60" s="729"/>
      <c r="V60" s="735">
        <f>+V58/V57</f>
        <v>0.99305111156906767</v>
      </c>
      <c r="W60" s="736" t="s">
        <v>285</v>
      </c>
      <c r="X60" s="247">
        <v>145699.65818309458</v>
      </c>
      <c r="Y60" s="246">
        <v>116559.72654647566</v>
      </c>
      <c r="Z60" s="246"/>
      <c r="AA60" s="246">
        <v>116559.72654647566</v>
      </c>
    </row>
    <row r="61" spans="2:27" x14ac:dyDescent="0.2">
      <c r="B61" s="251" t="s">
        <v>289</v>
      </c>
      <c r="C61" s="91"/>
      <c r="D61" s="92"/>
      <c r="E61" s="718"/>
      <c r="F61" s="511"/>
      <c r="G61" s="95"/>
      <c r="H61" s="93"/>
      <c r="J61" s="730"/>
      <c r="K61" s="729"/>
      <c r="V61" s="732"/>
      <c r="W61" s="716" t="s">
        <v>286</v>
      </c>
      <c r="X61" s="245">
        <v>2073362.8108945438</v>
      </c>
      <c r="Y61" s="246">
        <v>1658690.2487156352</v>
      </c>
      <c r="Z61" s="246"/>
      <c r="AA61" s="246">
        <v>1658690.2487156352</v>
      </c>
    </row>
    <row r="62" spans="2:27" x14ac:dyDescent="0.2">
      <c r="B62" s="250" t="s">
        <v>128</v>
      </c>
      <c r="C62" s="91"/>
      <c r="D62" s="92"/>
      <c r="E62" s="718"/>
      <c r="F62" s="71"/>
      <c r="G62" s="95" t="s">
        <v>59</v>
      </c>
      <c r="H62" s="93"/>
      <c r="J62" s="730"/>
      <c r="K62" s="729"/>
      <c r="V62" s="732"/>
      <c r="W62" s="716" t="s">
        <v>287</v>
      </c>
      <c r="X62" s="245">
        <v>1752853.1511169001</v>
      </c>
      <c r="Y62" s="246">
        <v>1402282.5208935202</v>
      </c>
      <c r="Z62" s="246">
        <v>1095162.1200000001</v>
      </c>
      <c r="AA62" s="246">
        <v>307120.4008935201</v>
      </c>
    </row>
    <row r="63" spans="2:27" ht="15.75" thickBot="1" x14ac:dyDescent="0.25">
      <c r="B63" s="22" t="str">
        <f>B15</f>
        <v>Charco Azul 115</v>
      </c>
      <c r="C63" s="22"/>
      <c r="D63" s="44"/>
      <c r="E63" s="31"/>
      <c r="F63" s="34"/>
      <c r="G63" s="96" t="s">
        <v>60</v>
      </c>
      <c r="H63" s="26"/>
      <c r="J63" s="730"/>
      <c r="K63" s="729"/>
      <c r="V63" s="732"/>
      <c r="W63" s="716"/>
      <c r="X63" s="245"/>
      <c r="Y63" s="246"/>
      <c r="Z63" s="246"/>
      <c r="AA63" s="246"/>
    </row>
    <row r="64" spans="2:27" ht="16.5" thickBot="1" x14ac:dyDescent="0.3">
      <c r="E64" s="24"/>
      <c r="F64" s="24"/>
      <c r="J64" s="730"/>
      <c r="K64" s="729"/>
      <c r="V64" s="738" t="s">
        <v>10</v>
      </c>
      <c r="W64" s="716" t="s">
        <v>11</v>
      </c>
      <c r="X64" s="245">
        <v>59839508.611118525</v>
      </c>
      <c r="Y64" s="246">
        <v>49089337.133500792</v>
      </c>
      <c r="Z64" s="246">
        <v>18573353.649130803</v>
      </c>
      <c r="AA64" s="246">
        <v>30515983.484369993</v>
      </c>
    </row>
    <row r="65" spans="2:25" ht="15.75" thickBot="1" x14ac:dyDescent="0.25">
      <c r="B65" s="131" t="s">
        <v>61</v>
      </c>
      <c r="C65" s="131"/>
      <c r="D65" s="134" t="s">
        <v>55</v>
      </c>
      <c r="E65" s="135" t="s">
        <v>41</v>
      </c>
      <c r="F65" s="131" t="s">
        <v>56</v>
      </c>
      <c r="G65" s="132" t="s">
        <v>57</v>
      </c>
      <c r="H65" s="133" t="s">
        <v>63</v>
      </c>
      <c r="J65" s="730"/>
      <c r="K65" s="729"/>
      <c r="V65" s="739" t="s">
        <v>10</v>
      </c>
      <c r="W65" s="732"/>
      <c r="X65" s="74"/>
      <c r="Y65" s="74"/>
    </row>
    <row r="66" spans="2:25" x14ac:dyDescent="0.2">
      <c r="B66" s="20" t="str">
        <f>B11</f>
        <v>Llano Sánchez  34.5</v>
      </c>
      <c r="C66" s="20"/>
      <c r="D66" s="32">
        <f>+D11</f>
        <v>4</v>
      </c>
      <c r="E66" s="719">
        <f>+E11</f>
        <v>4938906.208763808</v>
      </c>
      <c r="F66" s="69">
        <f>+E66/D66</f>
        <v>1234726.552190952</v>
      </c>
      <c r="G66" s="94" t="s">
        <v>93</v>
      </c>
      <c r="H66" s="20" t="s">
        <v>65</v>
      </c>
      <c r="J66" s="730"/>
      <c r="K66" s="729"/>
    </row>
    <row r="67" spans="2:25" x14ac:dyDescent="0.2">
      <c r="B67" s="16" t="s">
        <v>92</v>
      </c>
      <c r="C67" s="46"/>
      <c r="D67" s="47">
        <f>+D24</f>
        <v>2</v>
      </c>
      <c r="E67" s="720">
        <f>+E24</f>
        <v>4215070.7546636537</v>
      </c>
      <c r="F67" s="35">
        <f>+E67/D67</f>
        <v>2107535.3773318268</v>
      </c>
      <c r="G67" s="97" t="s">
        <v>93</v>
      </c>
      <c r="H67" s="46"/>
      <c r="J67" s="730"/>
      <c r="K67" s="729"/>
    </row>
    <row r="68" spans="2:25" x14ac:dyDescent="0.2">
      <c r="B68" s="21" t="str">
        <f>B13</f>
        <v>Progreso 34.5</v>
      </c>
      <c r="C68" s="21"/>
      <c r="D68" s="33">
        <f>+D13</f>
        <v>4</v>
      </c>
      <c r="E68" s="721">
        <f>+E13</f>
        <v>7521236.1701460332</v>
      </c>
      <c r="F68" s="35">
        <f>+E68/D68</f>
        <v>1880309.0425365083</v>
      </c>
      <c r="G68" s="98" t="s">
        <v>62</v>
      </c>
      <c r="H68" s="21"/>
      <c r="J68" s="730"/>
      <c r="K68" s="729"/>
    </row>
    <row r="69" spans="2:25" x14ac:dyDescent="0.2">
      <c r="B69" s="21" t="str">
        <f>B17</f>
        <v>Mata de Nance 34.5</v>
      </c>
      <c r="C69" s="21"/>
      <c r="D69" s="33">
        <f>+D17</f>
        <v>4</v>
      </c>
      <c r="E69" s="721">
        <f>+E17</f>
        <v>15476646.88118542</v>
      </c>
      <c r="F69" s="35">
        <f>+E69/D69</f>
        <v>3869161.720296355</v>
      </c>
      <c r="G69" s="98" t="s">
        <v>129</v>
      </c>
      <c r="H69" s="21"/>
      <c r="J69" s="730"/>
      <c r="K69" s="729"/>
    </row>
    <row r="70" spans="2:25" ht="15.75" thickBot="1" x14ac:dyDescent="0.25">
      <c r="B70" s="22" t="str">
        <f>B18</f>
        <v>Chorrera 34.5</v>
      </c>
      <c r="C70" s="22"/>
      <c r="D70" s="36">
        <f>+D18</f>
        <v>6</v>
      </c>
      <c r="E70" s="722">
        <f>+E18</f>
        <v>10765696.404890513</v>
      </c>
      <c r="F70" s="31">
        <f>+E70/D70</f>
        <v>1794282.7341484188</v>
      </c>
      <c r="G70" s="257" t="s">
        <v>291</v>
      </c>
      <c r="H70" s="22"/>
      <c r="J70" s="730"/>
      <c r="K70" s="729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</row>
    <row r="71" spans="2:25" ht="16.5" thickBot="1" x14ac:dyDescent="0.3">
      <c r="D71" s="65"/>
      <c r="E71" s="136">
        <f>SUM(E42:E70)</f>
        <v>78962652.501372606</v>
      </c>
      <c r="F71" s="49" t="s">
        <v>127</v>
      </c>
      <c r="J71" s="730"/>
      <c r="K71" s="729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2:25" x14ac:dyDescent="0.2">
      <c r="E72" s="45"/>
      <c r="F72" s="45"/>
      <c r="J72" s="730"/>
      <c r="K72" s="729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</row>
    <row r="73" spans="2:25" ht="15.75" thickBot="1" x14ac:dyDescent="0.25">
      <c r="C73" s="14" t="s">
        <v>97</v>
      </c>
      <c r="E73" s="252"/>
      <c r="J73" s="730"/>
      <c r="K73" s="729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2:25" ht="15.75" thickBot="1" x14ac:dyDescent="0.25">
      <c r="B74" s="131" t="s">
        <v>721</v>
      </c>
      <c r="C74" s="131"/>
      <c r="D74" s="134" t="s">
        <v>55</v>
      </c>
      <c r="E74" s="137" t="s">
        <v>41</v>
      </c>
      <c r="F74" s="131" t="s">
        <v>56</v>
      </c>
      <c r="G74" s="131" t="s">
        <v>57</v>
      </c>
      <c r="H74" s="131" t="s">
        <v>63</v>
      </c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</row>
    <row r="75" spans="2:25" ht="15.75" thickBot="1" x14ac:dyDescent="0.25">
      <c r="B75" s="1381" t="s">
        <v>653</v>
      </c>
      <c r="C75" s="22"/>
      <c r="D75" s="36">
        <v>1</v>
      </c>
      <c r="E75" s="1068">
        <v>12687.898440000001</v>
      </c>
      <c r="F75" s="31">
        <f>+E75/D75</f>
        <v>12687.898440000001</v>
      </c>
      <c r="G75" s="99"/>
      <c r="H75" s="1164"/>
      <c r="L75" s="726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2:25" ht="15.75" thickBot="1" x14ac:dyDescent="0.25">
      <c r="B76" s="22" t="s">
        <v>652</v>
      </c>
      <c r="C76" s="22"/>
      <c r="D76" s="36">
        <v>1</v>
      </c>
      <c r="E76" s="722">
        <v>5129.0559999999996</v>
      </c>
      <c r="F76" s="31">
        <f t="shared" ref="F76" si="9">+E76/D76</f>
        <v>5129.0559999999996</v>
      </c>
      <c r="G76" s="257"/>
      <c r="H76" s="22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2:25" ht="15.75" thickBot="1" x14ac:dyDescent="0.25">
      <c r="D77" s="48"/>
      <c r="E77" s="1083">
        <f>SUM(E76:E76)*1000</f>
        <v>5129056</v>
      </c>
      <c r="F77" s="49" t="s">
        <v>127</v>
      </c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2:25" x14ac:dyDescent="0.2">
      <c r="G78" s="100"/>
      <c r="H78" s="13"/>
      <c r="J78" s="726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2:25" x14ac:dyDescent="0.2">
      <c r="B79"/>
      <c r="C79"/>
      <c r="D79"/>
      <c r="E79"/>
      <c r="F79" s="148"/>
      <c r="G79" s="100"/>
      <c r="H79" s="13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2:25" x14ac:dyDescent="0.2">
      <c r="B80"/>
      <c r="C80"/>
      <c r="D80" s="149"/>
      <c r="E80" s="23">
        <f>+E77+E71</f>
        <v>84091708.501372606</v>
      </c>
      <c r="G80" s="101"/>
      <c r="H80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2:23" ht="12.75" x14ac:dyDescent="0.2">
      <c r="B81"/>
      <c r="C81"/>
      <c r="D81" s="149"/>
      <c r="E81" s="23"/>
      <c r="F81"/>
      <c r="G81" s="100"/>
      <c r="H81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2:23" ht="12.75" x14ac:dyDescent="0.2">
      <c r="B82"/>
      <c r="C82"/>
      <c r="D82" s="150"/>
      <c r="E82" s="23"/>
      <c r="F82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2:23" ht="12.75" x14ac:dyDescent="0.2">
      <c r="E83" s="19"/>
      <c r="G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2:23" ht="12.75" x14ac:dyDescent="0.2">
      <c r="B84"/>
      <c r="C84"/>
      <c r="D84" s="150"/>
      <c r="G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2:23" ht="12.75" x14ac:dyDescent="0.2">
      <c r="B85"/>
      <c r="C85"/>
      <c r="D85" s="150"/>
      <c r="G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2:23" ht="14.25" x14ac:dyDescent="0.2">
      <c r="B86"/>
      <c r="C86"/>
      <c r="D86" s="150"/>
      <c r="E86" s="1079"/>
      <c r="F86" s="1080"/>
      <c r="G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2:23" ht="14.25" x14ac:dyDescent="0.2">
      <c r="B87"/>
      <c r="C87"/>
      <c r="D87" s="150"/>
      <c r="F87" s="1080"/>
      <c r="G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2:23" x14ac:dyDescent="0.25">
      <c r="B88"/>
      <c r="C88"/>
      <c r="D88" s="150"/>
      <c r="E88" s="1081"/>
      <c r="F88" s="1081"/>
      <c r="G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2:23" ht="14.25" x14ac:dyDescent="0.2">
      <c r="B89"/>
      <c r="C89"/>
      <c r="D89" s="150"/>
      <c r="E89" s="1079"/>
      <c r="F89" s="1080"/>
      <c r="G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2:23" ht="14.25" x14ac:dyDescent="0.2">
      <c r="B90"/>
      <c r="C90"/>
      <c r="D90" s="150"/>
      <c r="E90" s="1079"/>
      <c r="G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2:23" ht="14.25" x14ac:dyDescent="0.2">
      <c r="B91"/>
      <c r="C91"/>
      <c r="D91" s="150"/>
      <c r="E91" s="1082"/>
      <c r="F91" s="1082"/>
      <c r="G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2:23" x14ac:dyDescent="0.2">
      <c r="B92"/>
      <c r="C92"/>
      <c r="D92" s="150"/>
    </row>
    <row r="93" spans="2:23" x14ac:dyDescent="0.2">
      <c r="B93"/>
      <c r="C93"/>
      <c r="D93" s="150"/>
    </row>
    <row r="94" spans="2:23" x14ac:dyDescent="0.2">
      <c r="B94"/>
      <c r="C94"/>
      <c r="D94" s="150"/>
    </row>
    <row r="95" spans="2:23" x14ac:dyDescent="0.2">
      <c r="B95"/>
      <c r="C95"/>
      <c r="D95" s="150"/>
    </row>
    <row r="96" spans="2:23" x14ac:dyDescent="0.2">
      <c r="B96"/>
      <c r="C96"/>
      <c r="D96" s="150"/>
    </row>
  </sheetData>
  <mergeCells count="10">
    <mergeCell ref="B1:F1"/>
    <mergeCell ref="B2:F2"/>
    <mergeCell ref="C5:D5"/>
    <mergeCell ref="B5:B6"/>
    <mergeCell ref="B3:F3"/>
    <mergeCell ref="B39:D39"/>
    <mergeCell ref="E5:F5"/>
    <mergeCell ref="B4:F4"/>
    <mergeCell ref="C28:D28"/>
    <mergeCell ref="C37:D37"/>
  </mergeCells>
  <phoneticPr fontId="0" type="noConversion"/>
  <printOptions horizontalCentered="1" verticalCentered="1"/>
  <pageMargins left="0.59055118110236227" right="0.47244094488188981" top="0.9055118110236221" bottom="1.1417322834645669" header="0.55118110236220474" footer="0.43307086614173229"/>
  <pageSetup scale="49" orientation="landscape" r:id="rId1"/>
  <headerFooter alignWithMargins="0">
    <oddHeader>&amp;F</oddHeader>
    <oddFooter>&amp;LHOJA: &amp;A&amp;R&amp;D</oddFooter>
  </headerFooter>
  <ignoredErrors>
    <ignoredError sqref="D67:F67 D69:F70 E68:F68" 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 tint="0.39997558519241921"/>
  </sheetPr>
  <dimension ref="B1:U147"/>
  <sheetViews>
    <sheetView showGridLines="0" topLeftCell="L68" zoomScale="85" zoomScaleNormal="85" workbookViewId="0">
      <selection activeCell="P83" sqref="P83:P85"/>
    </sheetView>
  </sheetViews>
  <sheetFormatPr baseColWidth="10" defaultColWidth="11.42578125" defaultRowHeight="15" x14ac:dyDescent="0.25"/>
  <cols>
    <col min="1" max="1" width="3.7109375" style="748" customWidth="1"/>
    <col min="2" max="2" width="36" style="748" customWidth="1"/>
    <col min="3" max="4" width="24.7109375" style="748" customWidth="1"/>
    <col min="5" max="5" width="22.5703125" style="748" customWidth="1"/>
    <col min="6" max="6" width="21.7109375" style="748" customWidth="1"/>
    <col min="7" max="7" width="21.28515625" style="748" customWidth="1"/>
    <col min="8" max="8" width="21.42578125" style="748" customWidth="1"/>
    <col min="9" max="9" width="18.7109375" style="748" customWidth="1"/>
    <col min="10" max="10" width="18.28515625" style="748" customWidth="1"/>
    <col min="11" max="11" width="16.5703125" style="748" customWidth="1"/>
    <col min="12" max="12" width="27" style="748" customWidth="1"/>
    <col min="13" max="13" width="17" style="748" bestFit="1" customWidth="1"/>
    <col min="14" max="14" width="32.28515625" style="748" customWidth="1"/>
    <col min="15" max="15" width="14" style="748" customWidth="1"/>
    <col min="16" max="16" width="13.28515625" style="748" customWidth="1"/>
    <col min="17" max="17" width="16.28515625" style="748" customWidth="1"/>
    <col min="18" max="18" width="26.7109375" style="748" customWidth="1"/>
    <col min="19" max="19" width="17.28515625" style="748" customWidth="1"/>
    <col min="20" max="20" width="14" style="748" customWidth="1"/>
    <col min="21" max="16384" width="11.42578125" style="748"/>
  </cols>
  <sheetData>
    <row r="1" spans="2:20" s="745" customFormat="1" ht="12.75" hidden="1" x14ac:dyDescent="0.2"/>
    <row r="2" spans="2:20" s="745" customFormat="1" ht="12.75" hidden="1" x14ac:dyDescent="0.2"/>
    <row r="3" spans="2:20" s="745" customFormat="1" ht="12.75" hidden="1" x14ac:dyDescent="0.2"/>
    <row r="4" spans="2:20" s="745" customFormat="1" ht="12.75" hidden="1" x14ac:dyDescent="0.2"/>
    <row r="5" spans="2:20" s="745" customFormat="1" ht="12.75" hidden="1" x14ac:dyDescent="0.2"/>
    <row r="6" spans="2:20" s="745" customFormat="1" ht="12.75" x14ac:dyDescent="0.2"/>
    <row r="7" spans="2:20" s="747" customFormat="1" ht="12.75" x14ac:dyDescent="0.2">
      <c r="B7" s="746" t="s">
        <v>145</v>
      </c>
    </row>
    <row r="8" spans="2:20" ht="15.75" thickBot="1" x14ac:dyDescent="0.3">
      <c r="R8" s="749"/>
      <c r="S8" s="749"/>
      <c r="T8" s="749"/>
    </row>
    <row r="9" spans="2:20" ht="15.75" thickBot="1" x14ac:dyDescent="0.3">
      <c r="Q9" s="1749" t="s">
        <v>40</v>
      </c>
      <c r="R9" s="1759"/>
      <c r="S9" s="1750"/>
      <c r="T9" s="749"/>
    </row>
    <row r="10" spans="2:20" ht="50.25" customHeight="1" thickBot="1" x14ac:dyDescent="0.3">
      <c r="B10" s="989" t="s">
        <v>150</v>
      </c>
      <c r="C10" s="987" t="s">
        <v>604</v>
      </c>
      <c r="D10" s="987" t="s">
        <v>605</v>
      </c>
      <c r="E10" s="987" t="s">
        <v>663</v>
      </c>
      <c r="F10" s="987" t="s">
        <v>913</v>
      </c>
      <c r="G10" s="987" t="s">
        <v>914</v>
      </c>
      <c r="H10" s="987" t="s">
        <v>915</v>
      </c>
      <c r="I10" s="973" t="s">
        <v>916</v>
      </c>
      <c r="L10" s="999"/>
      <c r="M10" s="1765" t="s">
        <v>667</v>
      </c>
      <c r="N10" s="1766"/>
      <c r="O10" s="1005" t="s">
        <v>156</v>
      </c>
      <c r="P10" s="1005" t="s">
        <v>157</v>
      </c>
      <c r="Q10" s="1005" t="s">
        <v>877</v>
      </c>
      <c r="R10" s="1005" t="s">
        <v>878</v>
      </c>
      <c r="S10" s="1005" t="s">
        <v>879</v>
      </c>
      <c r="T10" s="1005" t="s">
        <v>692</v>
      </c>
    </row>
    <row r="11" spans="2:20" x14ac:dyDescent="0.25">
      <c r="B11" s="990" t="s">
        <v>162</v>
      </c>
      <c r="C11" s="1128">
        <v>81253562.286067054</v>
      </c>
      <c r="D11" s="1128">
        <v>37356288.715684421</v>
      </c>
      <c r="E11" s="986">
        <v>81268835.367470801</v>
      </c>
      <c r="F11" s="986">
        <v>118609851.00175148</v>
      </c>
      <c r="G11" s="1129">
        <f>+[10]VNR_Sub!L12+[10]VNR_Sub!M12</f>
        <v>126084520.38650882</v>
      </c>
      <c r="H11" s="988">
        <f>+G11/F11-1</f>
        <v>6.3018959400319652E-2</v>
      </c>
      <c r="I11" s="974">
        <f>+(G11-E11)/E11</f>
        <v>0.55144982472550907</v>
      </c>
      <c r="J11" s="1310" t="s">
        <v>703</v>
      </c>
      <c r="K11" s="1311"/>
      <c r="L11" s="1000"/>
      <c r="M11" s="1317" t="s">
        <v>880</v>
      </c>
      <c r="N11" s="1327" t="s">
        <v>668</v>
      </c>
      <c r="O11" s="1006">
        <v>1976</v>
      </c>
      <c r="P11" s="1007">
        <v>50.88</v>
      </c>
      <c r="Q11" s="1769">
        <v>26254185.861637991</v>
      </c>
      <c r="R11" s="1772">
        <v>38084291.017627068</v>
      </c>
      <c r="S11" s="1775">
        <v>33321543.169455431</v>
      </c>
      <c r="T11" s="1778">
        <v>-0.12505806779932516</v>
      </c>
    </row>
    <row r="12" spans="2:20" x14ac:dyDescent="0.25">
      <c r="B12" s="990" t="s">
        <v>165</v>
      </c>
      <c r="C12" s="1128">
        <v>48598642.164690673</v>
      </c>
      <c r="D12" s="1128">
        <v>45160673.384403311</v>
      </c>
      <c r="E12" s="986">
        <v>75145522.248748019</v>
      </c>
      <c r="F12" s="986">
        <v>93759315.549093992</v>
      </c>
      <c r="G12" s="1130">
        <f>+[10]VNR_Sub!L13+[10]VNR_Sub!M13</f>
        <v>107513920.27416518</v>
      </c>
      <c r="H12" s="988">
        <f t="shared" ref="H12:H23" si="0">+G12/F12-1</f>
        <v>0.14670120664297137</v>
      </c>
      <c r="I12" s="974">
        <f t="shared" ref="I12:I23" si="1">+(G12-E12)/E12</f>
        <v>0.43074287138854034</v>
      </c>
      <c r="J12" s="1310" t="s">
        <v>704</v>
      </c>
      <c r="K12" s="1311"/>
      <c r="L12" s="1000"/>
      <c r="M12" s="1318" t="s">
        <v>881</v>
      </c>
      <c r="N12" s="1328" t="s">
        <v>669</v>
      </c>
      <c r="O12" s="172">
        <v>1976</v>
      </c>
      <c r="P12" s="174">
        <v>19.010000000000002</v>
      </c>
      <c r="Q12" s="1770"/>
      <c r="R12" s="1773"/>
      <c r="S12" s="1776"/>
      <c r="T12" s="1779"/>
    </row>
    <row r="13" spans="2:20" x14ac:dyDescent="0.25">
      <c r="B13" s="990" t="s">
        <v>29</v>
      </c>
      <c r="C13" s="1128">
        <v>50402138.587442502</v>
      </c>
      <c r="D13" s="1128">
        <v>0</v>
      </c>
      <c r="E13" s="986">
        <v>14205732.554233395</v>
      </c>
      <c r="F13" s="986">
        <v>50402138.587442502</v>
      </c>
      <c r="G13" s="1130">
        <f>+[10]VNR_Sub!L14+[10]VNR_Sub!M14</f>
        <v>24669202.311823882</v>
      </c>
      <c r="H13" s="988">
        <f t="shared" si="0"/>
        <v>-0.51055246854207659</v>
      </c>
      <c r="I13" s="974">
        <f t="shared" si="1"/>
        <v>0.73656671471492052</v>
      </c>
      <c r="J13" s="1310" t="s">
        <v>704</v>
      </c>
      <c r="K13" s="1311"/>
      <c r="L13" s="1000"/>
      <c r="M13" s="1318" t="s">
        <v>166</v>
      </c>
      <c r="N13" s="1328" t="s">
        <v>670</v>
      </c>
      <c r="O13" s="172">
        <v>1976</v>
      </c>
      <c r="P13" s="174">
        <v>60.53</v>
      </c>
      <c r="Q13" s="1770"/>
      <c r="R13" s="1773"/>
      <c r="S13" s="1776"/>
      <c r="T13" s="1779"/>
    </row>
    <row r="14" spans="2:20" x14ac:dyDescent="0.25">
      <c r="B14" s="990" t="s">
        <v>170</v>
      </c>
      <c r="C14" s="1128">
        <v>13249825.63839709</v>
      </c>
      <c r="D14" s="1128">
        <v>0</v>
      </c>
      <c r="E14" s="986">
        <v>9975106.1939016003</v>
      </c>
      <c r="F14" s="986">
        <v>13249825.63839709</v>
      </c>
      <c r="G14" s="1130">
        <f>+[10]VNR_Sub!L15+[10]VNR_Sub!M15</f>
        <v>14766663.161953002</v>
      </c>
      <c r="H14" s="988">
        <f t="shared" si="0"/>
        <v>0.114479810146348</v>
      </c>
      <c r="I14" s="974">
        <f t="shared" si="1"/>
        <v>0.48035147445154791</v>
      </c>
      <c r="J14" s="1052"/>
      <c r="K14" s="1052"/>
      <c r="L14" s="1001"/>
      <c r="M14" s="1319" t="s">
        <v>168</v>
      </c>
      <c r="N14" s="1329" t="s">
        <v>671</v>
      </c>
      <c r="O14" s="1330">
        <v>1976</v>
      </c>
      <c r="P14" s="1330">
        <v>10.67</v>
      </c>
      <c r="Q14" s="1771"/>
      <c r="R14" s="1774"/>
      <c r="S14" s="1777"/>
      <c r="T14" s="1780"/>
    </row>
    <row r="15" spans="2:20" x14ac:dyDescent="0.25">
      <c r="B15" s="990" t="s">
        <v>30</v>
      </c>
      <c r="C15" s="1128">
        <v>110034315.95481004</v>
      </c>
      <c r="D15" s="1128">
        <v>0</v>
      </c>
      <c r="E15" s="986">
        <v>56954346.181484647</v>
      </c>
      <c r="F15" s="986">
        <v>110034315.95481004</v>
      </c>
      <c r="G15" s="1130">
        <f>+[10]VNR_Sub!L16+[10]VNR_Sub!M16</f>
        <v>97845991.133855939</v>
      </c>
      <c r="H15" s="988">
        <f t="shared" si="0"/>
        <v>-0.11076839725126952</v>
      </c>
      <c r="I15" s="974">
        <f t="shared" si="1"/>
        <v>0.71797233563300566</v>
      </c>
      <c r="J15" s="1310" t="s">
        <v>705</v>
      </c>
      <c r="K15" s="1311"/>
      <c r="L15" s="1002"/>
      <c r="M15" s="1318" t="s">
        <v>882</v>
      </c>
      <c r="N15" s="1331" t="s">
        <v>172</v>
      </c>
      <c r="O15" s="1332">
        <v>1976</v>
      </c>
      <c r="P15" s="1332">
        <v>13.09</v>
      </c>
      <c r="Q15" s="1333">
        <v>5291307.4606879503</v>
      </c>
      <c r="R15" s="1333">
        <v>17301180.221096225</v>
      </c>
      <c r="S15" s="1334">
        <v>6703639.1051854044</v>
      </c>
      <c r="T15" s="1335">
        <v>-0.61253284345241887</v>
      </c>
    </row>
    <row r="16" spans="2:20" x14ac:dyDescent="0.25">
      <c r="B16" s="990" t="s">
        <v>175</v>
      </c>
      <c r="C16" s="1128">
        <v>53328555.086135</v>
      </c>
      <c r="D16" s="1128">
        <v>0</v>
      </c>
      <c r="E16" s="986">
        <v>38967373.227820002</v>
      </c>
      <c r="F16" s="986">
        <v>53328555.086135</v>
      </c>
      <c r="G16" s="1130">
        <f>+[10]VNR_Sub!L17+[10]VNR_Sub!M17</f>
        <v>53430140.411311872</v>
      </c>
      <c r="H16" s="988">
        <f t="shared" si="0"/>
        <v>1.9048955107221488E-3</v>
      </c>
      <c r="I16" s="974">
        <f t="shared" si="1"/>
        <v>0.37115068287863084</v>
      </c>
      <c r="J16" s="1310" t="s">
        <v>704</v>
      </c>
      <c r="K16" s="1311"/>
      <c r="L16" s="1002"/>
      <c r="M16" s="1320" t="s">
        <v>173</v>
      </c>
      <c r="N16" s="1336" t="s">
        <v>174</v>
      </c>
      <c r="O16" s="176">
        <v>1978</v>
      </c>
      <c r="P16" s="179">
        <v>40.479999999999997</v>
      </c>
      <c r="Q16" s="997">
        <v>13601353.423229374</v>
      </c>
      <c r="R16" s="997">
        <v>43971822.601070821</v>
      </c>
      <c r="S16" s="1294">
        <v>18044586.048730105</v>
      </c>
      <c r="T16" s="1296">
        <v>-0.5896329744519011</v>
      </c>
    </row>
    <row r="17" spans="2:20" x14ac:dyDescent="0.25">
      <c r="B17" s="990" t="s">
        <v>178</v>
      </c>
      <c r="C17" s="1128">
        <v>14588259.801823238</v>
      </c>
      <c r="D17" s="1128">
        <v>0</v>
      </c>
      <c r="E17" s="986">
        <v>13149164.575438002</v>
      </c>
      <c r="F17" s="986">
        <v>14588259.801823238</v>
      </c>
      <c r="G17" s="1130">
        <f>+[10]VNR_Sub!L18+[10]VNR_Sub!M18</f>
        <v>16026713.988272484</v>
      </c>
      <c r="H17" s="988">
        <f t="shared" si="0"/>
        <v>9.8603548743316782E-2</v>
      </c>
      <c r="I17" s="974">
        <f t="shared" si="1"/>
        <v>0.2188389533286095</v>
      </c>
      <c r="L17" s="1002" t="s">
        <v>179</v>
      </c>
      <c r="M17" s="1320" t="s">
        <v>176</v>
      </c>
      <c r="N17" s="1336" t="s">
        <v>672</v>
      </c>
      <c r="O17" s="176">
        <v>1978</v>
      </c>
      <c r="P17" s="180">
        <v>60.81</v>
      </c>
      <c r="Q17" s="997">
        <v>20432270.298087407</v>
      </c>
      <c r="R17" s="997">
        <v>66055497.341183729</v>
      </c>
      <c r="S17" s="1294">
        <v>25885959.083317105</v>
      </c>
      <c r="T17" s="1296">
        <v>-0.60811802007010329</v>
      </c>
    </row>
    <row r="18" spans="2:20" x14ac:dyDescent="0.25">
      <c r="B18" s="990" t="s">
        <v>182</v>
      </c>
      <c r="C18" s="1128">
        <v>31372892.831478421</v>
      </c>
      <c r="D18" s="1128">
        <v>6126377.5003104182</v>
      </c>
      <c r="E18" s="986">
        <v>37570166.189534999</v>
      </c>
      <c r="F18" s="986">
        <v>37499270.331788838</v>
      </c>
      <c r="G18" s="1130">
        <f>+[10]VNR_Sub!L19+[10]VNR_Sub!M19</f>
        <v>48554440.138248816</v>
      </c>
      <c r="H18" s="988">
        <f t="shared" si="0"/>
        <v>0.2948102645370223</v>
      </c>
      <c r="I18" s="974">
        <f t="shared" si="1"/>
        <v>0.29236692468433734</v>
      </c>
      <c r="L18" s="1002" t="s">
        <v>183</v>
      </c>
      <c r="M18" s="1320" t="s">
        <v>673</v>
      </c>
      <c r="N18" s="1337" t="s">
        <v>674</v>
      </c>
      <c r="O18" s="1330">
        <v>1978</v>
      </c>
      <c r="P18" s="1330">
        <v>81.93</v>
      </c>
      <c r="Q18" s="1338">
        <v>27528628.605859261</v>
      </c>
      <c r="R18" s="1338">
        <v>88997317.828698948</v>
      </c>
      <c r="S18" s="1339">
        <v>34876445.073346004</v>
      </c>
      <c r="T18" s="1340">
        <v>-0.60811802058489217</v>
      </c>
    </row>
    <row r="19" spans="2:20" x14ac:dyDescent="0.25">
      <c r="B19" s="990" t="s">
        <v>32</v>
      </c>
      <c r="C19" s="1128">
        <v>18367645.473388236</v>
      </c>
      <c r="D19" s="1128">
        <v>0</v>
      </c>
      <c r="E19" s="986">
        <v>14861739.977099603</v>
      </c>
      <c r="F19" s="986">
        <v>18367645.473388236</v>
      </c>
      <c r="G19" s="1130">
        <f>+[10]VNR_Sub!L20+[10]VNR_Sub!M20</f>
        <v>29509311.266127788</v>
      </c>
      <c r="H19" s="988">
        <f t="shared" si="0"/>
        <v>0.60659194499817803</v>
      </c>
      <c r="I19" s="974">
        <f t="shared" si="1"/>
        <v>0.98558925883500648</v>
      </c>
      <c r="L19" s="1003"/>
      <c r="M19" s="1321" t="s">
        <v>883</v>
      </c>
      <c r="N19" s="1331" t="s">
        <v>181</v>
      </c>
      <c r="O19" s="1332">
        <v>1978</v>
      </c>
      <c r="P19" s="1341">
        <v>110.21</v>
      </c>
      <c r="Q19" s="1342">
        <v>38183246.121931471</v>
      </c>
      <c r="R19" s="1333">
        <v>61721318.186582148</v>
      </c>
      <c r="S19" s="1343">
        <v>48374944.447304033</v>
      </c>
      <c r="T19" s="1335">
        <v>-0.21623604503928984</v>
      </c>
    </row>
    <row r="20" spans="2:20" x14ac:dyDescent="0.25">
      <c r="B20" s="990" t="s">
        <v>188</v>
      </c>
      <c r="C20" s="1128">
        <v>4469051.3571431199</v>
      </c>
      <c r="D20" s="1128">
        <v>0</v>
      </c>
      <c r="E20" s="986">
        <v>4825897.6157364016</v>
      </c>
      <c r="F20" s="986">
        <v>4469051.3571431199</v>
      </c>
      <c r="G20" s="1130">
        <f>+[10]VNR_Sub!L21+[10]VNR_Sub!M21</f>
        <v>5860781.5436287457</v>
      </c>
      <c r="H20" s="988">
        <f t="shared" si="0"/>
        <v>0.31141512488129064</v>
      </c>
      <c r="I20" s="974">
        <f t="shared" si="1"/>
        <v>0.21444382170847762</v>
      </c>
      <c r="L20" s="1003"/>
      <c r="M20" s="1320" t="s">
        <v>675</v>
      </c>
      <c r="N20" s="1336" t="s">
        <v>676</v>
      </c>
      <c r="O20" s="176">
        <v>1978</v>
      </c>
      <c r="P20" s="182">
        <v>107.97</v>
      </c>
      <c r="Q20" s="997"/>
      <c r="R20" s="997"/>
      <c r="S20" s="1293"/>
      <c r="T20" s="1296"/>
    </row>
    <row r="21" spans="2:20" s="982" customFormat="1" x14ac:dyDescent="0.25">
      <c r="B21" s="990" t="s">
        <v>197</v>
      </c>
      <c r="C21" s="1128">
        <v>25815891.836158</v>
      </c>
      <c r="D21" s="1128">
        <v>0</v>
      </c>
      <c r="E21" s="986">
        <v>13677629.115275599</v>
      </c>
      <c r="F21" s="986">
        <v>25815891.836158</v>
      </c>
      <c r="G21" s="1130">
        <f>+[10]VNR_Sub!L22+[10]VNR_Sub!M22</f>
        <v>23725463.847716216</v>
      </c>
      <c r="H21" s="988">
        <f t="shared" si="0"/>
        <v>-8.097446339289005E-2</v>
      </c>
      <c r="I21" s="974">
        <f t="shared" si="1"/>
        <v>0.73461815989869794</v>
      </c>
      <c r="L21" s="1003"/>
      <c r="M21" s="1322" t="s">
        <v>677</v>
      </c>
      <c r="N21" s="1337" t="s">
        <v>678</v>
      </c>
      <c r="O21" s="1330">
        <v>1978</v>
      </c>
      <c r="P21" s="1344">
        <v>8.66</v>
      </c>
      <c r="Q21" s="1338"/>
      <c r="R21" s="1338"/>
      <c r="S21" s="1345"/>
      <c r="T21" s="1340"/>
    </row>
    <row r="22" spans="2:20" x14ac:dyDescent="0.25">
      <c r="B22" s="990" t="s">
        <v>194</v>
      </c>
      <c r="C22" s="1128">
        <v>4670073.0811969731</v>
      </c>
      <c r="D22" s="1128">
        <v>0</v>
      </c>
      <c r="E22" s="986">
        <v>5694527.8163256012</v>
      </c>
      <c r="F22" s="986">
        <v>4670073.0811969731</v>
      </c>
      <c r="G22" s="1130">
        <f>+[10]VNR_Sub!L23+[10]VNR_Sub!M23</f>
        <v>7014619.7787039699</v>
      </c>
      <c r="H22" s="988">
        <f t="shared" si="0"/>
        <v>0.50203640430099505</v>
      </c>
      <c r="I22" s="974">
        <f t="shared" si="1"/>
        <v>0.23181763351718232</v>
      </c>
      <c r="L22" s="1003"/>
      <c r="M22" s="1320" t="s">
        <v>184</v>
      </c>
      <c r="N22" s="1331" t="s">
        <v>185</v>
      </c>
      <c r="O22" s="1332">
        <v>1979</v>
      </c>
      <c r="P22" s="1341">
        <v>85.6</v>
      </c>
      <c r="Q22" s="1333">
        <v>39616050.914236382</v>
      </c>
      <c r="R22" s="1333">
        <v>123874090.62794165</v>
      </c>
      <c r="S22" s="1334">
        <v>50154457.164777294</v>
      </c>
      <c r="T22" s="1335">
        <v>-0.59511745425912166</v>
      </c>
    </row>
    <row r="23" spans="2:20" x14ac:dyDescent="0.25">
      <c r="B23" s="990" t="s">
        <v>200</v>
      </c>
      <c r="C23" s="1128">
        <v>0</v>
      </c>
      <c r="D23" s="1128">
        <v>12110317.681827839</v>
      </c>
      <c r="E23" s="986">
        <v>10355326.181348205</v>
      </c>
      <c r="F23" s="986">
        <v>12110317.681827839</v>
      </c>
      <c r="G23" s="1130">
        <f>+[10]VNR_Sub!L24+[10]VNR_Sub!M24</f>
        <v>12532107.701506034</v>
      </c>
      <c r="H23" s="988">
        <f t="shared" si="0"/>
        <v>3.4828980606438797E-2</v>
      </c>
      <c r="I23" s="974">
        <f t="shared" si="1"/>
        <v>0.21020888014890365</v>
      </c>
      <c r="L23" s="1003"/>
      <c r="M23" s="1322" t="s">
        <v>186</v>
      </c>
      <c r="N23" s="1346" t="s">
        <v>187</v>
      </c>
      <c r="O23" s="1330">
        <v>1984</v>
      </c>
      <c r="P23" s="1344">
        <v>37.72</v>
      </c>
      <c r="Q23" s="1338">
        <v>14379459.392710263</v>
      </c>
      <c r="R23" s="1338">
        <v>40973743.787361458</v>
      </c>
      <c r="S23" s="1339">
        <v>18695974.492565338</v>
      </c>
      <c r="T23" s="1340">
        <v>-0.54370841508673173</v>
      </c>
    </row>
    <row r="24" spans="2:20" x14ac:dyDescent="0.25">
      <c r="B24" s="990" t="s">
        <v>203</v>
      </c>
      <c r="C24" s="1128">
        <v>0</v>
      </c>
      <c r="D24" s="1128">
        <v>8047103.0056935325</v>
      </c>
      <c r="E24" s="986">
        <v>12004307.123061605</v>
      </c>
      <c r="F24" s="986">
        <v>8047103.0056935325</v>
      </c>
      <c r="G24" s="1130">
        <f>+[10]VNR_Sub!L25+[10]VNR_Sub!M25</f>
        <v>14578557.15804255</v>
      </c>
      <c r="H24" s="988">
        <f>+G24/F24-1</f>
        <v>0.81165285789530039</v>
      </c>
      <c r="I24" s="974">
        <f>+(G24-E24)/E24</f>
        <v>0.21444386657148462</v>
      </c>
      <c r="L24" s="1003"/>
      <c r="M24" s="1321" t="s">
        <v>679</v>
      </c>
      <c r="N24" s="1323" t="s">
        <v>884</v>
      </c>
      <c r="O24" s="172">
        <v>2006</v>
      </c>
      <c r="P24" s="184">
        <v>151.16999999999999</v>
      </c>
      <c r="Q24" s="997">
        <v>60898971.207499489</v>
      </c>
      <c r="R24" s="997">
        <v>21077827.712902632</v>
      </c>
      <c r="S24" s="1294">
        <v>74755075.993451729</v>
      </c>
      <c r="T24" s="1296">
        <v>2.5466214550985717</v>
      </c>
    </row>
    <row r="25" spans="2:20" ht="15.75" thickBot="1" x14ac:dyDescent="0.3">
      <c r="B25" s="990" t="s">
        <v>206</v>
      </c>
      <c r="C25" s="1128">
        <v>0</v>
      </c>
      <c r="D25" s="1128">
        <v>11204260.436332701</v>
      </c>
      <c r="E25" s="986">
        <v>7550937.6255616052</v>
      </c>
      <c r="F25" s="986">
        <v>11204260.436332701</v>
      </c>
      <c r="G25" s="1130">
        <f>+[10]VNR_Sub!L26+[10]VNR_Sub!M26</f>
        <v>9170189.8055356443</v>
      </c>
      <c r="H25" s="988">
        <f>+G25/F25-1</f>
        <v>-0.18154439040001769</v>
      </c>
      <c r="I25" s="975">
        <f>+(G25-E25)/E25</f>
        <v>0.21444385588519629</v>
      </c>
      <c r="L25" s="1003"/>
      <c r="M25" s="1318" t="s">
        <v>680</v>
      </c>
      <c r="N25" s="1347" t="s">
        <v>885</v>
      </c>
      <c r="O25" s="172">
        <v>2006</v>
      </c>
      <c r="P25" s="184">
        <v>44.65</v>
      </c>
      <c r="Q25" s="997">
        <v>17987292.87831483</v>
      </c>
      <c r="R25" s="997">
        <v>181356866.26230633</v>
      </c>
      <c r="S25" s="1294">
        <v>22788379.395670179</v>
      </c>
      <c r="T25" s="1296">
        <v>-0.87434509723657161</v>
      </c>
    </row>
    <row r="26" spans="2:20" ht="15.75" thickBot="1" x14ac:dyDescent="0.3">
      <c r="B26" s="990" t="s">
        <v>911</v>
      </c>
      <c r="C26" s="1128">
        <v>8836248.4394901209</v>
      </c>
      <c r="D26" s="1128">
        <v>0</v>
      </c>
      <c r="F26" s="1130">
        <v>8836248.4394901209</v>
      </c>
      <c r="G26" s="1130">
        <f>+[10]VNR_Sub!$N$27</f>
        <v>27106382.406900004</v>
      </c>
      <c r="H26" s="988">
        <f t="shared" ref="H26:H27" si="2">+G26/F26-1</f>
        <v>2.0676347086121685</v>
      </c>
      <c r="I26" s="975"/>
      <c r="L26" s="1003"/>
      <c r="M26" s="1320" t="s">
        <v>681</v>
      </c>
      <c r="N26" s="1348" t="s">
        <v>682</v>
      </c>
      <c r="O26" s="172">
        <v>2004</v>
      </c>
      <c r="P26" s="184">
        <v>68.2</v>
      </c>
      <c r="Q26" s="997">
        <v>27474431.675275955</v>
      </c>
      <c r="R26" s="997">
        <v>90466195.721835092</v>
      </c>
      <c r="S26" s="1294">
        <v>34807782.446590036</v>
      </c>
      <c r="T26" s="1296">
        <v>-0.61523990072914314</v>
      </c>
    </row>
    <row r="27" spans="2:20" ht="15.75" thickBot="1" x14ac:dyDescent="0.3">
      <c r="B27" s="990" t="s">
        <v>912</v>
      </c>
      <c r="C27" s="1128">
        <v>42505028.502633892</v>
      </c>
      <c r="D27" s="1128">
        <v>0</v>
      </c>
      <c r="F27" s="1130">
        <v>42505028.502633892</v>
      </c>
      <c r="G27" s="1130">
        <f>+[10]VNR_Sub!$N$28</f>
        <v>18794624.054700002</v>
      </c>
      <c r="H27" s="988">
        <f t="shared" si="2"/>
        <v>-0.55782586868432849</v>
      </c>
      <c r="I27" s="975"/>
      <c r="L27" s="1003"/>
      <c r="M27" s="1320" t="s">
        <v>683</v>
      </c>
      <c r="N27" s="1348" t="s">
        <v>684</v>
      </c>
      <c r="O27" s="172">
        <v>2004</v>
      </c>
      <c r="P27" s="184">
        <v>42.89</v>
      </c>
      <c r="Q27" s="997">
        <v>17278275.286694802</v>
      </c>
      <c r="R27" s="997">
        <v>56892890.535330005</v>
      </c>
      <c r="S27" s="1294">
        <v>21890114.048830766</v>
      </c>
      <c r="T27" s="1296">
        <v>-0.61523990356515301</v>
      </c>
    </row>
    <row r="28" spans="2:20" s="982" customFormat="1" ht="15.75" thickBot="1" x14ac:dyDescent="0.3">
      <c r="B28" s="976" t="s">
        <v>11</v>
      </c>
      <c r="C28" s="977">
        <f>+SUM(C11:C27)</f>
        <v>507492131.04085439</v>
      </c>
      <c r="D28" s="977">
        <f>+SUM(D11:D27)</f>
        <v>120005020.72425222</v>
      </c>
      <c r="E28" s="977">
        <f>+SUM(E11:E27)</f>
        <v>396206611.99304014</v>
      </c>
      <c r="F28" s="977">
        <f>+SUM(F11:F27)</f>
        <v>627497151.76510656</v>
      </c>
      <c r="G28" s="977">
        <f>+SUM(G11:G27)</f>
        <v>637183629.36900103</v>
      </c>
      <c r="H28" s="978">
        <f>+G28/F28-1</f>
        <v>1.5436687762879986E-2</v>
      </c>
      <c r="I28" s="972">
        <f>+G28/E28-1</f>
        <v>0.60821048938020739</v>
      </c>
      <c r="L28" s="1003"/>
      <c r="M28" s="1322" t="s">
        <v>195</v>
      </c>
      <c r="N28" s="1337" t="s">
        <v>685</v>
      </c>
      <c r="O28" s="1349">
        <v>2004</v>
      </c>
      <c r="P28" s="1350">
        <v>84.81</v>
      </c>
      <c r="Q28" s="1338">
        <v>34165785.196189933</v>
      </c>
      <c r="R28" s="1338">
        <v>112499091.7766691</v>
      </c>
      <c r="S28" s="1339">
        <v>44362545.296586983</v>
      </c>
      <c r="T28" s="1340">
        <v>-0.60566308051042217</v>
      </c>
    </row>
    <row r="29" spans="2:20" s="982" customFormat="1" x14ac:dyDescent="0.25">
      <c r="B29" s="979"/>
      <c r="C29" s="979"/>
      <c r="D29" s="979"/>
      <c r="E29" s="979"/>
      <c r="F29" s="979"/>
      <c r="G29" s="979"/>
      <c r="H29" s="979"/>
      <c r="I29" s="981"/>
      <c r="L29" s="1003"/>
      <c r="M29" s="1321" t="s">
        <v>886</v>
      </c>
      <c r="N29" s="1351" t="s">
        <v>686</v>
      </c>
      <c r="O29" s="1352"/>
      <c r="P29" s="1353"/>
      <c r="Q29" s="1354">
        <v>6610783.3400480701</v>
      </c>
      <c r="R29" s="1354">
        <v>10883799.646593206</v>
      </c>
      <c r="S29" s="1355">
        <v>8375303.8322756058</v>
      </c>
      <c r="T29" s="1356">
        <v>-0.23047978608305209</v>
      </c>
    </row>
    <row r="30" spans="2:20" s="982" customFormat="1" ht="15.75" thickBot="1" x14ac:dyDescent="0.3">
      <c r="B30" s="1297"/>
      <c r="C30" s="1297"/>
      <c r="D30" s="1297"/>
      <c r="E30" s="1297"/>
      <c r="F30" s="1297"/>
      <c r="G30" s="1297"/>
      <c r="H30" s="1297"/>
      <c r="I30" s="1297"/>
      <c r="J30" s="1297"/>
      <c r="L30" s="1003"/>
      <c r="M30" s="1320" t="s">
        <v>887</v>
      </c>
      <c r="N30" s="1324" t="s">
        <v>202</v>
      </c>
      <c r="O30" s="1357">
        <v>2009</v>
      </c>
      <c r="P30" s="1358"/>
      <c r="Q30" s="1333">
        <v>39245755.782732472</v>
      </c>
      <c r="R30" s="1333">
        <v>66815879.64900858</v>
      </c>
      <c r="S30" s="1781">
        <v>49734209.379932009</v>
      </c>
      <c r="T30" s="1335">
        <v>-0.25565285316617137</v>
      </c>
    </row>
    <row r="31" spans="2:20" ht="19.899999999999999" customHeight="1" thickBot="1" x14ac:dyDescent="0.3">
      <c r="B31" s="1312" t="s">
        <v>664</v>
      </c>
      <c r="C31" s="1315"/>
      <c r="D31" s="1315"/>
      <c r="E31" s="1315">
        <f>+E28</f>
        <v>396206611.99304014</v>
      </c>
      <c r="F31" s="1316">
        <f>+F28</f>
        <v>627497151.76510656</v>
      </c>
      <c r="G31" s="1315">
        <f>+VNR_Subestaciones_SPT</f>
        <v>637183629.36900103</v>
      </c>
      <c r="H31" s="1313">
        <f>+G31/F31-1</f>
        <v>1.5436687762879986E-2</v>
      </c>
      <c r="I31" s="1314">
        <f>+F31/E31-1</f>
        <v>0.5837624430561732</v>
      </c>
      <c r="L31" s="1003"/>
      <c r="M31" s="1320" t="s">
        <v>888</v>
      </c>
      <c r="N31" s="1348" t="s">
        <v>205</v>
      </c>
      <c r="O31" s="172">
        <v>2009</v>
      </c>
      <c r="P31" s="184"/>
      <c r="Q31" s="997"/>
      <c r="R31" s="997"/>
      <c r="S31" s="1776"/>
      <c r="T31" s="1296"/>
    </row>
    <row r="32" spans="2:20" ht="18" customHeight="1" thickBot="1" x14ac:dyDescent="0.3">
      <c r="L32" s="1003"/>
      <c r="M32" s="1320" t="s">
        <v>889</v>
      </c>
      <c r="N32" s="1336" t="s">
        <v>208</v>
      </c>
      <c r="O32" s="172">
        <v>2012</v>
      </c>
      <c r="P32" s="184"/>
      <c r="Q32" s="997"/>
      <c r="R32" s="997"/>
      <c r="S32" s="1776"/>
      <c r="T32" s="1296"/>
    </row>
    <row r="33" spans="2:21" ht="24.75" customHeight="1" thickBot="1" x14ac:dyDescent="0.3">
      <c r="B33" s="989" t="s">
        <v>211</v>
      </c>
      <c r="C33" s="987" t="s">
        <v>604</v>
      </c>
      <c r="D33" s="987" t="s">
        <v>605</v>
      </c>
      <c r="E33" s="987" t="s">
        <v>917</v>
      </c>
      <c r="F33" s="987" t="s">
        <v>918</v>
      </c>
      <c r="G33" s="987" t="s">
        <v>919</v>
      </c>
      <c r="H33" s="987" t="s">
        <v>915</v>
      </c>
      <c r="I33" s="987" t="s">
        <v>927</v>
      </c>
      <c r="L33" s="1003"/>
      <c r="M33" s="1322" t="s">
        <v>890</v>
      </c>
      <c r="N33" s="1346" t="s">
        <v>210</v>
      </c>
      <c r="O33" s="1349">
        <v>2024</v>
      </c>
      <c r="P33" s="1350">
        <v>16.41</v>
      </c>
      <c r="Q33" s="1338"/>
      <c r="R33" s="1338">
        <v>67955765.496035323</v>
      </c>
      <c r="S33" s="1777"/>
      <c r="T33" s="1340"/>
    </row>
    <row r="34" spans="2:21" x14ac:dyDescent="0.25">
      <c r="B34" s="990" t="s">
        <v>206</v>
      </c>
      <c r="C34" s="991">
        <v>0</v>
      </c>
      <c r="D34" s="991">
        <v>817916.67088659666</v>
      </c>
      <c r="E34" s="991">
        <v>2263204.5478261998</v>
      </c>
      <c r="F34" s="986">
        <v>817916.67088659701</v>
      </c>
      <c r="G34" s="1131">
        <v>2772683.4952809601</v>
      </c>
      <c r="H34" s="988">
        <f>+G34/F34-1</f>
        <v>2.3899339553446866</v>
      </c>
      <c r="I34" s="992">
        <f>+G34/E34-1</f>
        <v>0.2251139641549913</v>
      </c>
      <c r="L34" s="1003"/>
      <c r="M34" s="1320" t="s">
        <v>687</v>
      </c>
      <c r="N34" s="1359" t="s">
        <v>891</v>
      </c>
      <c r="O34" s="1357">
        <v>2012</v>
      </c>
      <c r="P34" s="1358"/>
      <c r="Q34" s="1333"/>
      <c r="R34" s="1333"/>
      <c r="S34" s="1334">
        <v>25381099.828593008</v>
      </c>
      <c r="T34" s="1335">
        <v>-0.62650557103835736</v>
      </c>
    </row>
    <row r="35" spans="2:21" ht="18.75" customHeight="1" x14ac:dyDescent="0.25">
      <c r="B35" s="990" t="s">
        <v>216</v>
      </c>
      <c r="C35" s="991">
        <v>20800983.781310309</v>
      </c>
      <c r="D35" s="991">
        <v>0</v>
      </c>
      <c r="E35" s="991">
        <v>20472444.355571598</v>
      </c>
      <c r="F35" s="986">
        <v>20800983.781310309</v>
      </c>
      <c r="G35" s="1132">
        <v>24862633.859405082</v>
      </c>
      <c r="H35" s="988">
        <f t="shared" ref="H35:H36" si="3">+G35/F35-1</f>
        <v>0.19526240300923492</v>
      </c>
      <c r="I35" s="992">
        <f>+G35/E35-1</f>
        <v>0.21444383619187568</v>
      </c>
      <c r="L35" s="1003"/>
      <c r="M35" s="1325" t="s">
        <v>892</v>
      </c>
      <c r="N35" s="1347" t="s">
        <v>893</v>
      </c>
      <c r="O35" s="172"/>
      <c r="P35" s="184"/>
      <c r="Q35" s="997">
        <v>20033775.47230899</v>
      </c>
      <c r="R35" s="997">
        <v>67955765.496035323</v>
      </c>
      <c r="S35" s="1294">
        <v>10492486.923162986</v>
      </c>
      <c r="T35" s="1296">
        <v>0</v>
      </c>
      <c r="U35" s="1309" t="s">
        <v>922</v>
      </c>
    </row>
    <row r="36" spans="2:21" ht="17.25" customHeight="1" thickBot="1" x14ac:dyDescent="0.3">
      <c r="B36" s="990" t="s">
        <v>217</v>
      </c>
      <c r="C36" s="991">
        <v>33008081.569488253</v>
      </c>
      <c r="D36" s="991">
        <v>0</v>
      </c>
      <c r="E36" s="991">
        <v>18225503.240041375</v>
      </c>
      <c r="F36" s="986">
        <v>33008081.569488253</v>
      </c>
      <c r="G36" s="1133">
        <v>26689867.920426536</v>
      </c>
      <c r="H36" s="988">
        <f t="shared" si="3"/>
        <v>-0.19141414310191529</v>
      </c>
      <c r="I36" s="992">
        <f>+G36/E36-1</f>
        <v>0.4644241955299746</v>
      </c>
      <c r="L36" s="1003"/>
      <c r="M36" s="1320" t="s">
        <v>894</v>
      </c>
      <c r="N36" s="1348" t="s">
        <v>895</v>
      </c>
      <c r="O36" s="172">
        <v>2024</v>
      </c>
      <c r="P36" s="184"/>
      <c r="Q36" s="997"/>
      <c r="R36" s="997">
        <v>10492486.923162986</v>
      </c>
      <c r="S36" s="1294">
        <v>0</v>
      </c>
      <c r="T36" s="1296"/>
      <c r="U36" s="1309" t="s">
        <v>922</v>
      </c>
    </row>
    <row r="37" spans="2:21" ht="23.65" customHeight="1" thickBot="1" x14ac:dyDescent="0.3">
      <c r="B37" s="976" t="s">
        <v>11</v>
      </c>
      <c r="C37" s="977">
        <f>+SUM(C34:C36)</f>
        <v>53809065.350798562</v>
      </c>
      <c r="D37" s="977">
        <f>+SUM(D34:D36)</f>
        <v>817916.67088659666</v>
      </c>
      <c r="E37" s="977">
        <f>+SUM(E34:E36)</f>
        <v>40961152.143439174</v>
      </c>
      <c r="F37" s="977">
        <f>+SUM(F34:F36)</f>
        <v>54626982.021685161</v>
      </c>
      <c r="G37" s="977">
        <f>+SUM(G34:G36)</f>
        <v>54325185.275112577</v>
      </c>
      <c r="H37" s="978">
        <f>G37/F37-1</f>
        <v>-5.5246827740323967E-3</v>
      </c>
      <c r="I37" s="993">
        <f>+G37/E37-1</f>
        <v>0.32626116289099416</v>
      </c>
      <c r="L37" s="1003"/>
      <c r="M37" s="1320" t="s">
        <v>896</v>
      </c>
      <c r="N37" s="1348" t="s">
        <v>897</v>
      </c>
      <c r="O37" s="172">
        <v>2024</v>
      </c>
      <c r="P37" s="184"/>
      <c r="Q37" s="997"/>
      <c r="R37" s="997">
        <v>10479222.085080603</v>
      </c>
      <c r="S37" s="1294">
        <v>0</v>
      </c>
      <c r="T37" s="1296"/>
      <c r="U37" s="1309" t="s">
        <v>922</v>
      </c>
    </row>
    <row r="38" spans="2:21" ht="19.149999999999999" customHeight="1" thickBot="1" x14ac:dyDescent="0.3">
      <c r="L38" s="1003"/>
      <c r="M38" s="1325" t="s">
        <v>898</v>
      </c>
      <c r="N38" s="1360" t="s">
        <v>899</v>
      </c>
      <c r="O38" s="1349">
        <v>2024</v>
      </c>
      <c r="P38" s="1350"/>
      <c r="Q38" s="1338"/>
      <c r="R38" s="1338">
        <v>1386175.5796087629</v>
      </c>
      <c r="S38" s="1339">
        <v>41657165.891800001</v>
      </c>
      <c r="T38" s="1340">
        <v>-0.38699585549911342</v>
      </c>
      <c r="U38" s="1309" t="s">
        <v>922</v>
      </c>
    </row>
    <row r="39" spans="2:21" ht="40.5" customHeight="1" thickBot="1" x14ac:dyDescent="0.3">
      <c r="B39" s="987" t="s">
        <v>222</v>
      </c>
      <c r="C39" s="987" t="s">
        <v>606</v>
      </c>
      <c r="D39" s="987" t="s">
        <v>607</v>
      </c>
      <c r="E39" s="987" t="s">
        <v>608</v>
      </c>
      <c r="F39" s="987" t="s">
        <v>923</v>
      </c>
      <c r="G39" s="987" t="s">
        <v>924</v>
      </c>
      <c r="H39" s="987" t="s">
        <v>925</v>
      </c>
      <c r="I39" s="987" t="s">
        <v>926</v>
      </c>
      <c r="J39" s="987" t="s">
        <v>916</v>
      </c>
      <c r="L39" s="1003"/>
      <c r="M39" s="1326" t="s">
        <v>900</v>
      </c>
      <c r="N39" s="1323" t="s">
        <v>901</v>
      </c>
      <c r="O39" s="172"/>
      <c r="P39" s="184">
        <v>96.84</v>
      </c>
      <c r="Q39" s="997">
        <v>15336533.927826326</v>
      </c>
      <c r="R39" s="997">
        <v>3953988.0006891759</v>
      </c>
      <c r="S39" s="1293">
        <v>19430091.90578194</v>
      </c>
      <c r="T39" s="1296">
        <v>3.9140492845186419</v>
      </c>
      <c r="U39" s="1309" t="s">
        <v>922</v>
      </c>
    </row>
    <row r="40" spans="2:21" x14ac:dyDescent="0.25">
      <c r="B40" s="1147" t="s">
        <v>920</v>
      </c>
      <c r="C40" s="1145"/>
      <c r="D40" s="1128">
        <f>+[10]VNR_Sub!$N$45</f>
        <v>6935705.9100000001</v>
      </c>
      <c r="E40" s="1145"/>
      <c r="F40" s="991"/>
      <c r="G40" s="991">
        <v>63791126.749766968</v>
      </c>
      <c r="H40" s="1129">
        <f>SUM(C40:E40)</f>
        <v>6935705.9100000001</v>
      </c>
      <c r="I40" s="988">
        <f>+H40/G40-1</f>
        <v>-0.89127475460330641</v>
      </c>
      <c r="J40" s="992"/>
      <c r="L40" s="1003"/>
      <c r="M40" s="1325" t="s">
        <v>902</v>
      </c>
      <c r="N40" s="1323" t="s">
        <v>688</v>
      </c>
      <c r="O40" s="172"/>
      <c r="P40" s="184">
        <v>24.66</v>
      </c>
      <c r="Q40" s="997"/>
      <c r="R40" s="997">
        <v>48281968.283007108</v>
      </c>
      <c r="S40" s="1293">
        <v>210155.31216983209</v>
      </c>
      <c r="T40" s="1296"/>
      <c r="U40" s="1309" t="s">
        <v>922</v>
      </c>
    </row>
    <row r="41" spans="2:21" x14ac:dyDescent="0.25">
      <c r="B41" s="1147" t="s">
        <v>29</v>
      </c>
      <c r="C41" s="1145"/>
      <c r="D41" s="1128"/>
      <c r="E41" s="1145">
        <v>13885667.314607959</v>
      </c>
      <c r="F41" s="991">
        <v>44639612.268807396</v>
      </c>
      <c r="G41" s="991">
        <v>13885667.314607959</v>
      </c>
      <c r="H41" s="1130">
        <f t="shared" ref="H41:H42" si="4">SUM(C41:E41)</f>
        <v>13885667.314607959</v>
      </c>
      <c r="I41" s="988"/>
      <c r="J41" s="992"/>
      <c r="L41" s="1003"/>
      <c r="M41" s="1325" t="s">
        <v>903</v>
      </c>
      <c r="N41" s="539" t="s">
        <v>689</v>
      </c>
      <c r="O41" s="172"/>
      <c r="P41" s="184">
        <v>44</v>
      </c>
      <c r="Q41" s="997">
        <v>62921282.747233883</v>
      </c>
      <c r="R41" s="997">
        <v>103591753.00435059</v>
      </c>
      <c r="S41" s="1293">
        <v>79715974.18950896</v>
      </c>
      <c r="T41" s="1296">
        <v>-0.23047953261143195</v>
      </c>
      <c r="U41" s="1309" t="s">
        <v>922</v>
      </c>
    </row>
    <row r="42" spans="2:21" x14ac:dyDescent="0.25">
      <c r="B42" s="1147" t="s">
        <v>170</v>
      </c>
      <c r="C42" s="1145"/>
      <c r="D42" s="1128"/>
      <c r="E42" s="1128"/>
      <c r="F42" s="991">
        <v>3149681.1047364003</v>
      </c>
      <c r="G42" s="991">
        <v>0</v>
      </c>
      <c r="H42" s="1130">
        <f t="shared" si="4"/>
        <v>0</v>
      </c>
      <c r="I42" s="988"/>
      <c r="J42" s="992">
        <f t="shared" ref="J42:J48" si="5">+H42/F42-1</f>
        <v>-1</v>
      </c>
      <c r="L42" s="1003"/>
      <c r="M42" s="1325" t="s">
        <v>904</v>
      </c>
      <c r="N42" s="1323" t="s">
        <v>905</v>
      </c>
      <c r="O42" s="172"/>
      <c r="P42" s="184">
        <v>76.650000000000006</v>
      </c>
      <c r="Q42" s="997"/>
      <c r="R42" s="997">
        <v>51705996.93208921</v>
      </c>
      <c r="S42" s="1293"/>
      <c r="T42" s="1296"/>
      <c r="U42" s="1309" t="s">
        <v>922</v>
      </c>
    </row>
    <row r="43" spans="2:21" x14ac:dyDescent="0.25">
      <c r="B43" s="1147" t="s">
        <v>30</v>
      </c>
      <c r="C43" s="1145"/>
      <c r="D43" s="1145">
        <v>8393200.1777465604</v>
      </c>
      <c r="E43" s="1145">
        <v>6272553.5368098198</v>
      </c>
      <c r="F43" s="991">
        <v>30087600.439273581</v>
      </c>
      <c r="G43" s="991">
        <v>14665753.714556381</v>
      </c>
      <c r="H43" s="1130">
        <f t="shared" ref="H43:H49" si="6">SUM(C43:E43)</f>
        <v>14665753.714556381</v>
      </c>
      <c r="I43" s="988">
        <f t="shared" ref="I43:I50" si="7">+H43/G43-1</f>
        <v>0</v>
      </c>
      <c r="J43" s="992">
        <f t="shared" si="5"/>
        <v>-0.51256486059243667</v>
      </c>
      <c r="L43" s="1003"/>
      <c r="M43" s="1325" t="s">
        <v>906</v>
      </c>
      <c r="N43" s="1323" t="s">
        <v>907</v>
      </c>
      <c r="O43" s="172"/>
      <c r="P43" s="184">
        <v>49.73</v>
      </c>
      <c r="Q43" s="997"/>
      <c r="R43" s="997">
        <v>22604454.652620222</v>
      </c>
      <c r="S43" s="1295"/>
      <c r="T43" s="1296"/>
      <c r="U43" s="1309" t="s">
        <v>922</v>
      </c>
    </row>
    <row r="44" spans="2:21" ht="17.25" customHeight="1" thickBot="1" x14ac:dyDescent="0.3">
      <c r="B44" s="1147" t="s">
        <v>182</v>
      </c>
      <c r="C44" s="1128"/>
      <c r="D44" s="1128"/>
      <c r="E44" s="1145">
        <v>15476646.88118542</v>
      </c>
      <c r="F44" s="991">
        <v>7917797.3363252003</v>
      </c>
      <c r="G44" s="994">
        <v>15476646.88118542</v>
      </c>
      <c r="H44" s="1130">
        <f t="shared" si="6"/>
        <v>15476646.88118542</v>
      </c>
      <c r="I44" s="988">
        <f t="shared" si="7"/>
        <v>0</v>
      </c>
      <c r="J44" s="992">
        <f t="shared" si="5"/>
        <v>0.95466570105069448</v>
      </c>
      <c r="L44" s="1003"/>
      <c r="M44" s="1320" t="s">
        <v>690</v>
      </c>
      <c r="N44" s="539" t="s">
        <v>691</v>
      </c>
      <c r="O44" s="172"/>
      <c r="P44" s="184">
        <v>38.07</v>
      </c>
      <c r="Q44" s="997">
        <v>44869533.724226326</v>
      </c>
      <c r="R44" s="997">
        <v>147743766.5615541</v>
      </c>
      <c r="S44" s="1295">
        <v>61535881.683222942</v>
      </c>
      <c r="T44" s="1296">
        <v>-0.58349591921642663</v>
      </c>
      <c r="U44" s="1309" t="s">
        <v>922</v>
      </c>
    </row>
    <row r="45" spans="2:21" ht="20.65" customHeight="1" thickBot="1" x14ac:dyDescent="0.3">
      <c r="B45" s="1147" t="s">
        <v>32</v>
      </c>
      <c r="C45" s="1128"/>
      <c r="D45" s="1145">
        <v>1313650.1315770911</v>
      </c>
      <c r="E45" s="1145">
        <v>7521236.1701460332</v>
      </c>
      <c r="F45" s="991">
        <v>5379268.4116528006</v>
      </c>
      <c r="G45" s="991">
        <v>8834886.3017231245</v>
      </c>
      <c r="H45" s="1130">
        <f t="shared" si="6"/>
        <v>8834886.3017231245</v>
      </c>
      <c r="I45" s="988">
        <f t="shared" si="7"/>
        <v>0</v>
      </c>
      <c r="J45" s="992">
        <f t="shared" si="5"/>
        <v>0.64239551285163921</v>
      </c>
      <c r="L45" s="1004"/>
      <c r="M45" s="1767" t="s">
        <v>11</v>
      </c>
      <c r="N45" s="1768"/>
      <c r="O45" s="1768"/>
      <c r="P45" s="1012">
        <f>+SUM(P11:P44)</f>
        <v>1425.64</v>
      </c>
      <c r="Q45" s="1010">
        <f>+SUM(Q11:Q44)</f>
        <v>532108923.31673121</v>
      </c>
      <c r="R45" s="1010">
        <f>+SUM(R11:R44)</f>
        <v>1557123155.9304407</v>
      </c>
      <c r="S45" s="1010">
        <f>+SUM(S11:S44)</f>
        <v>731193814.71225762</v>
      </c>
      <c r="T45" s="1011">
        <f>+S45/R45-1</f>
        <v>-0.53042004935355203</v>
      </c>
    </row>
    <row r="46" spans="2:21" ht="16.149999999999999" customHeight="1" x14ac:dyDescent="0.25">
      <c r="B46" s="1147" t="s">
        <v>197</v>
      </c>
      <c r="C46" s="1128"/>
      <c r="D46" s="1145"/>
      <c r="E46" s="1145">
        <v>4215070.7546636537</v>
      </c>
      <c r="F46" s="991">
        <v>1870799.6445768001</v>
      </c>
      <c r="G46" s="991">
        <v>4215070.7546636537</v>
      </c>
      <c r="H46" s="1130">
        <f t="shared" si="6"/>
        <v>4215070.7546636537</v>
      </c>
      <c r="I46" s="988">
        <f t="shared" si="7"/>
        <v>0</v>
      </c>
      <c r="J46" s="992">
        <f t="shared" si="5"/>
        <v>1.2530850734778491</v>
      </c>
      <c r="L46" s="177"/>
      <c r="M46" s="983"/>
      <c r="N46" s="983"/>
      <c r="O46" s="983"/>
      <c r="P46" s="182"/>
      <c r="Q46" s="182"/>
      <c r="R46" s="984"/>
      <c r="S46" s="984"/>
      <c r="T46" s="985"/>
    </row>
    <row r="47" spans="2:21" x14ac:dyDescent="0.25">
      <c r="B47" s="1147" t="s">
        <v>236</v>
      </c>
      <c r="C47" s="1128"/>
      <c r="D47" s="1145">
        <v>2522298.6042971867</v>
      </c>
      <c r="E47" s="1128"/>
      <c r="F47" s="991">
        <v>828218.81634660007</v>
      </c>
      <c r="G47" s="991">
        <v>2522298.6042971867</v>
      </c>
      <c r="H47" s="1130">
        <f t="shared" si="6"/>
        <v>2522298.6042971867</v>
      </c>
      <c r="I47" s="988">
        <f t="shared" si="7"/>
        <v>0</v>
      </c>
      <c r="J47" s="992">
        <f t="shared" si="5"/>
        <v>2.0454495291756736</v>
      </c>
      <c r="L47" s="983"/>
      <c r="M47" s="983"/>
      <c r="N47" s="983"/>
      <c r="O47" s="983"/>
      <c r="P47" s="182"/>
      <c r="Q47" s="182"/>
      <c r="R47" s="984"/>
      <c r="S47" s="984"/>
      <c r="T47" s="985"/>
    </row>
    <row r="48" spans="2:21" x14ac:dyDescent="0.25">
      <c r="B48" s="1147" t="s">
        <v>191</v>
      </c>
      <c r="C48" s="1145"/>
      <c r="D48" s="1128">
        <v>6168078.6568704201</v>
      </c>
      <c r="E48" s="1128"/>
      <c r="F48" s="991">
        <v>4825897.6157364016</v>
      </c>
      <c r="G48" s="991">
        <v>6168078.6568704201</v>
      </c>
      <c r="H48" s="1130">
        <f t="shared" si="6"/>
        <v>6168078.6568704201</v>
      </c>
      <c r="I48" s="988">
        <f t="shared" si="7"/>
        <v>0</v>
      </c>
      <c r="J48" s="992">
        <f t="shared" si="5"/>
        <v>0.27812049653879978</v>
      </c>
      <c r="L48" s="1013"/>
      <c r="M48" s="1013"/>
      <c r="N48" s="1014"/>
      <c r="O48" s="1014"/>
      <c r="P48" s="1015"/>
      <c r="Q48" s="1015"/>
      <c r="R48" s="1016"/>
      <c r="S48" s="1016"/>
      <c r="T48" s="1017"/>
    </row>
    <row r="49" spans="2:20" ht="15.75" thickBot="1" x14ac:dyDescent="0.3">
      <c r="B49" s="1147" t="s">
        <v>665</v>
      </c>
      <c r="C49" s="1145"/>
      <c r="D49" s="1128">
        <v>6258544.3634684775</v>
      </c>
      <c r="E49" s="1128"/>
      <c r="F49" s="991">
        <v>4825897.6157364016</v>
      </c>
      <c r="G49" s="991">
        <v>6258544.3634684775</v>
      </c>
      <c r="H49" s="1130">
        <f t="shared" si="6"/>
        <v>6258544.3634684775</v>
      </c>
      <c r="I49" s="988">
        <f t="shared" si="7"/>
        <v>0</v>
      </c>
      <c r="J49" s="992"/>
      <c r="L49" s="186"/>
    </row>
    <row r="50" spans="2:20" ht="19.5" thickBot="1" x14ac:dyDescent="0.35">
      <c r="B50" s="976" t="s">
        <v>11</v>
      </c>
      <c r="C50" s="977">
        <f t="shared" ref="C50:H50" si="8">+SUM(C40:C49)</f>
        <v>0</v>
      </c>
      <c r="D50" s="977">
        <f t="shared" si="8"/>
        <v>31591477.843959734</v>
      </c>
      <c r="E50" s="977">
        <f t="shared" si="8"/>
        <v>47371174.657412887</v>
      </c>
      <c r="F50" s="977">
        <f t="shared" si="8"/>
        <v>103524773.25319158</v>
      </c>
      <c r="G50" s="977">
        <f t="shared" si="8"/>
        <v>135818073.34113958</v>
      </c>
      <c r="H50" s="1375">
        <f t="shared" si="8"/>
        <v>78962652.50137262</v>
      </c>
      <c r="I50" s="978">
        <f t="shared" si="7"/>
        <v>-0.41861454400815257</v>
      </c>
      <c r="J50" s="993">
        <f>+H50/F50-1</f>
        <v>-0.23725838734026616</v>
      </c>
      <c r="L50" s="751" t="s">
        <v>215</v>
      </c>
    </row>
    <row r="51" spans="2:20" ht="15.75" thickBot="1" x14ac:dyDescent="0.3">
      <c r="Q51" s="1762" t="s">
        <v>40</v>
      </c>
      <c r="R51" s="1763"/>
      <c r="S51" s="1764"/>
      <c r="T51" s="998"/>
    </row>
    <row r="52" spans="2:20" ht="48" customHeight="1" thickBot="1" x14ac:dyDescent="0.3">
      <c r="L52" s="999"/>
      <c r="M52" s="1765" t="s">
        <v>693</v>
      </c>
      <c r="N52" s="1766"/>
      <c r="O52" s="1005" t="s">
        <v>156</v>
      </c>
      <c r="P52" s="1005" t="s">
        <v>157</v>
      </c>
      <c r="Q52" s="1005" t="s">
        <v>877</v>
      </c>
      <c r="R52" s="1005" t="s">
        <v>878</v>
      </c>
      <c r="S52" s="1005" t="s">
        <v>879</v>
      </c>
      <c r="T52" s="1005" t="s">
        <v>692</v>
      </c>
    </row>
    <row r="53" spans="2:20" x14ac:dyDescent="0.25">
      <c r="H53" s="755"/>
      <c r="L53" s="1025"/>
      <c r="M53" s="1008" t="s">
        <v>218</v>
      </c>
      <c r="N53" s="177" t="s">
        <v>219</v>
      </c>
      <c r="O53" s="752">
        <v>1986</v>
      </c>
      <c r="P53" s="752">
        <v>24.17</v>
      </c>
      <c r="Q53" s="1020">
        <v>5150857.9506010301</v>
      </c>
      <c r="R53" s="1020">
        <v>7034795.9809072632</v>
      </c>
      <c r="S53" s="1134">
        <v>6525701.6422056239</v>
      </c>
      <c r="T53" s="974">
        <f>+S53/R53-1</f>
        <v>-7.2368031721650961E-2</v>
      </c>
    </row>
    <row r="54" spans="2:20" x14ac:dyDescent="0.25">
      <c r="L54" s="1002" t="s">
        <v>179</v>
      </c>
      <c r="M54" s="1008" t="s">
        <v>220</v>
      </c>
      <c r="N54" s="177" t="s">
        <v>221</v>
      </c>
      <c r="O54" s="752">
        <v>1986</v>
      </c>
      <c r="P54" s="752">
        <v>29.95</v>
      </c>
      <c r="Q54" s="1020">
        <v>6382631.1799958963</v>
      </c>
      <c r="R54" s="1020">
        <v>8717093.0752243493</v>
      </c>
      <c r="S54" s="1135">
        <v>8086254.1048482237</v>
      </c>
      <c r="T54" s="974">
        <f t="shared" ref="T54:T55" si="9">+S54/R54-1</f>
        <v>-7.2368043444332453E-2</v>
      </c>
    </row>
    <row r="55" spans="2:20" x14ac:dyDescent="0.25">
      <c r="B55" s="748" t="s">
        <v>666</v>
      </c>
      <c r="C55" s="784"/>
      <c r="D55" s="785"/>
      <c r="L55" s="1002" t="s">
        <v>228</v>
      </c>
      <c r="M55" s="1008" t="s">
        <v>229</v>
      </c>
      <c r="N55" s="177" t="s">
        <v>230</v>
      </c>
      <c r="O55" s="752">
        <v>1986</v>
      </c>
      <c r="P55" s="753">
        <v>9.81</v>
      </c>
      <c r="Q55" s="1020">
        <v>2090604.7370871375</v>
      </c>
      <c r="R55" s="1020">
        <v>2855248.182569311</v>
      </c>
      <c r="S55" s="1135">
        <v>2648619.7421006584</v>
      </c>
      <c r="T55" s="974">
        <f t="shared" si="9"/>
        <v>-7.236794396020485E-2</v>
      </c>
    </row>
    <row r="56" spans="2:20" ht="15.75" thickBot="1" x14ac:dyDescent="0.3">
      <c r="L56" s="1001"/>
      <c r="M56" s="1008" t="s">
        <v>231</v>
      </c>
      <c r="N56" s="177" t="s">
        <v>232</v>
      </c>
      <c r="O56" s="752">
        <v>2011</v>
      </c>
      <c r="P56" s="753">
        <v>13.51</v>
      </c>
      <c r="Q56" s="1020">
        <v>3126948.7909317156</v>
      </c>
      <c r="R56" s="1020">
        <v>5007151.7028512741</v>
      </c>
      <c r="S56" s="1136">
        <v>4000912.6652467232</v>
      </c>
      <c r="T56" s="974">
        <f>+S56/R56-1</f>
        <v>-0.20096036575675502</v>
      </c>
    </row>
    <row r="57" spans="2:20" ht="15.75" thickBot="1" x14ac:dyDescent="0.3">
      <c r="L57" s="1026"/>
      <c r="M57" s="1751" t="s">
        <v>11</v>
      </c>
      <c r="N57" s="1752"/>
      <c r="O57" s="1753"/>
      <c r="P57" s="1021">
        <f>SUM(P53:P56)</f>
        <v>77.440000000000012</v>
      </c>
      <c r="Q57" s="1022">
        <f>SUM(Q53:Q56)</f>
        <v>16751042.658615779</v>
      </c>
      <c r="R57" s="1022">
        <f>+SUM(R53:R56)</f>
        <v>23614288.941552196</v>
      </c>
      <c r="S57" s="1023">
        <f>+SUM(S53:S56)</f>
        <v>21261488.154401228</v>
      </c>
      <c r="T57" s="1024">
        <f>+S57/R57-1</f>
        <v>-9.9634623467782291E-2</v>
      </c>
    </row>
    <row r="58" spans="2:20" ht="16.5" thickBot="1" x14ac:dyDescent="0.3">
      <c r="B58" s="1298"/>
      <c r="C58" s="1299" t="s">
        <v>928</v>
      </c>
      <c r="D58" s="1299" t="s">
        <v>924</v>
      </c>
      <c r="E58" s="1300" t="s">
        <v>929</v>
      </c>
      <c r="F58" s="995" t="s">
        <v>930</v>
      </c>
    </row>
    <row r="59" spans="2:20" ht="16.5" thickBot="1" x14ac:dyDescent="0.3">
      <c r="B59" s="1301" t="s">
        <v>253</v>
      </c>
      <c r="C59" s="1302">
        <f>+Q77</f>
        <v>592759843.64811218</v>
      </c>
      <c r="D59" s="1302">
        <f t="shared" ref="D59:E59" si="10">+R77</f>
        <v>1695942707.7653029</v>
      </c>
      <c r="E59" s="1303">
        <f t="shared" si="10"/>
        <v>809136768.35505939</v>
      </c>
      <c r="F59" s="996">
        <f>+E59/D59-1</f>
        <v>-0.52289852443114859</v>
      </c>
      <c r="L59" s="751" t="s">
        <v>215</v>
      </c>
      <c r="R59" s="1749" t="s">
        <v>40</v>
      </c>
      <c r="S59" s="1750"/>
    </row>
    <row r="60" spans="2:20" ht="25.9" customHeight="1" thickBot="1" x14ac:dyDescent="0.3">
      <c r="B60" s="1301" t="s">
        <v>256</v>
      </c>
      <c r="C60" s="1302">
        <f>Q91</f>
        <v>7309323.2731987555</v>
      </c>
      <c r="D60" s="1302">
        <f>+R91</f>
        <v>35319901.968491502</v>
      </c>
      <c r="E60" s="1302">
        <f>+S91</f>
        <v>34234198.249109991</v>
      </c>
      <c r="F60" s="996">
        <f t="shared" ref="F60:F63" si="11">+E60/D60-1</f>
        <v>-3.073914871989325E-2</v>
      </c>
      <c r="M60" s="1754" t="s">
        <v>701</v>
      </c>
      <c r="N60" s="1755"/>
      <c r="O60" s="1005" t="s">
        <v>156</v>
      </c>
      <c r="P60" s="1005" t="s">
        <v>157</v>
      </c>
      <c r="Q60" s="1005" t="s">
        <v>877</v>
      </c>
      <c r="R60" s="1005" t="s">
        <v>878</v>
      </c>
      <c r="S60" s="1005" t="s">
        <v>879</v>
      </c>
      <c r="T60" s="1005" t="s">
        <v>692</v>
      </c>
    </row>
    <row r="61" spans="2:20" ht="15.75" x14ac:dyDescent="0.25">
      <c r="B61" s="1301" t="s">
        <v>259</v>
      </c>
      <c r="C61" s="1302">
        <f>+E28</f>
        <v>396206611.99304014</v>
      </c>
      <c r="D61" s="1302">
        <f>+F28</f>
        <v>627497151.76510656</v>
      </c>
      <c r="E61" s="1302">
        <f>+G28</f>
        <v>637183629.36900103</v>
      </c>
      <c r="F61" s="996">
        <f t="shared" si="11"/>
        <v>1.5436687762879986E-2</v>
      </c>
      <c r="L61" s="999"/>
      <c r="M61" s="1036" t="s">
        <v>237</v>
      </c>
      <c r="N61" s="1037" t="s">
        <v>908</v>
      </c>
      <c r="O61" s="1038">
        <v>2016</v>
      </c>
      <c r="P61" s="1038">
        <v>47.81</v>
      </c>
      <c r="Q61" s="1039">
        <v>13841311.940392131</v>
      </c>
      <c r="R61" s="1040">
        <v>48090584.268754296</v>
      </c>
      <c r="S61" s="1137">
        <v>17535772.267461706</v>
      </c>
      <c r="T61" s="1041">
        <f>+S61/R61-1</f>
        <v>-0.63535955043791903</v>
      </c>
    </row>
    <row r="62" spans="2:20" ht="15.75" customHeight="1" x14ac:dyDescent="0.25">
      <c r="B62" s="1301" t="s">
        <v>262</v>
      </c>
      <c r="C62" s="1302">
        <f>+F50</f>
        <v>103524773.25319158</v>
      </c>
      <c r="D62" s="1302">
        <f t="shared" ref="D62:E62" si="12">+G50</f>
        <v>135818073.34113958</v>
      </c>
      <c r="E62" s="1302">
        <f t="shared" si="12"/>
        <v>78962652.50137262</v>
      </c>
      <c r="F62" s="996">
        <f t="shared" si="11"/>
        <v>-0.41861454400815257</v>
      </c>
      <c r="L62" s="1025"/>
      <c r="M62" s="1008" t="s">
        <v>240</v>
      </c>
      <c r="N62" s="982" t="s">
        <v>909</v>
      </c>
      <c r="O62" s="752">
        <v>2004</v>
      </c>
      <c r="P62" s="752">
        <v>7.27</v>
      </c>
      <c r="Q62" s="1027">
        <v>2474013.4271548484</v>
      </c>
      <c r="R62" s="1028">
        <v>8388179.893548822</v>
      </c>
      <c r="S62" s="1138">
        <v>3166785.7681128983</v>
      </c>
      <c r="T62" s="1009">
        <f t="shared" ref="T62:T68" si="13">+S62/R62-1</f>
        <v>-0.62247045148037317</v>
      </c>
    </row>
    <row r="63" spans="2:20" ht="16.5" thickBot="1" x14ac:dyDescent="0.3">
      <c r="B63" s="1301" t="s">
        <v>265</v>
      </c>
      <c r="C63" s="1304">
        <f>+E37</f>
        <v>40961152.143439174</v>
      </c>
      <c r="D63" s="1304">
        <f>+F37</f>
        <v>54626982.021685161</v>
      </c>
      <c r="E63" s="1304">
        <f>+G37</f>
        <v>54325185.275112577</v>
      </c>
      <c r="F63" s="996">
        <f t="shared" si="11"/>
        <v>-5.5246827740323967E-3</v>
      </c>
      <c r="L63" s="1002" t="s">
        <v>239</v>
      </c>
      <c r="M63" s="1008" t="s">
        <v>694</v>
      </c>
      <c r="N63" s="982" t="s">
        <v>695</v>
      </c>
      <c r="O63" s="752">
        <v>1972</v>
      </c>
      <c r="P63" s="753">
        <v>22.85</v>
      </c>
      <c r="Q63" s="1175">
        <v>18975376.71226332</v>
      </c>
      <c r="R63" s="1173">
        <v>32168150.678423826</v>
      </c>
      <c r="S63" s="1291">
        <v>25071808.731977463</v>
      </c>
      <c r="T63" s="1760">
        <f t="shared" si="13"/>
        <v>-0.22060148926142964</v>
      </c>
    </row>
    <row r="64" spans="2:20" ht="16.5" thickBot="1" x14ac:dyDescent="0.3">
      <c r="B64" s="1305" t="s">
        <v>11</v>
      </c>
      <c r="C64" s="1306">
        <f>+SUM(C59:C63)</f>
        <v>1140761704.3109818</v>
      </c>
      <c r="D64" s="1306">
        <f>+SUM(D59:D63)</f>
        <v>2549204816.8617258</v>
      </c>
      <c r="E64" s="1306">
        <f>+SUM(E59:E63)</f>
        <v>1613842433.7496555</v>
      </c>
      <c r="F64" s="996"/>
      <c r="L64" s="1002" t="s">
        <v>183</v>
      </c>
      <c r="M64" s="1008" t="s">
        <v>696</v>
      </c>
      <c r="N64" s="982" t="s">
        <v>697</v>
      </c>
      <c r="O64" s="752">
        <v>1972</v>
      </c>
      <c r="P64" s="753">
        <v>32.08</v>
      </c>
      <c r="Q64" s="1292"/>
      <c r="R64" s="1174"/>
      <c r="S64" s="1291"/>
      <c r="T64" s="1761" t="e">
        <f t="shared" si="13"/>
        <v>#DIV/0!</v>
      </c>
    </row>
    <row r="65" spans="2:20" ht="16.5" thickBot="1" x14ac:dyDescent="0.3">
      <c r="B65" s="1307"/>
      <c r="C65" s="1307"/>
      <c r="D65" s="1308">
        <f>+D64/C64-1</f>
        <v>1.234651467723876</v>
      </c>
      <c r="E65" s="1308">
        <f>+E64/D64-1</f>
        <v>-0.36692319774586646</v>
      </c>
      <c r="F65" s="996"/>
      <c r="L65" s="1001"/>
      <c r="M65" s="1008" t="s">
        <v>698</v>
      </c>
      <c r="N65" s="982" t="s">
        <v>699</v>
      </c>
      <c r="O65" s="752">
        <v>1972</v>
      </c>
      <c r="P65" s="753">
        <v>31.18</v>
      </c>
      <c r="Q65" s="1292"/>
      <c r="R65" s="1174"/>
      <c r="S65" s="1291"/>
      <c r="T65" s="1761" t="e">
        <f t="shared" si="13"/>
        <v>#DIV/0!</v>
      </c>
    </row>
    <row r="66" spans="2:20" x14ac:dyDescent="0.25">
      <c r="D66" s="756"/>
      <c r="E66" s="756"/>
      <c r="F66" s="756"/>
      <c r="L66" s="1034"/>
      <c r="M66" s="1008" t="s">
        <v>700</v>
      </c>
      <c r="N66" s="982" t="s">
        <v>910</v>
      </c>
      <c r="O66" s="752">
        <v>1972</v>
      </c>
      <c r="P66" s="753">
        <v>25.41</v>
      </c>
      <c r="Q66" s="1292"/>
      <c r="R66" s="1174"/>
      <c r="S66" s="1291"/>
      <c r="T66" s="1042"/>
    </row>
    <row r="67" spans="2:20" ht="15.75" thickBot="1" x14ac:dyDescent="0.3">
      <c r="D67" s="756"/>
      <c r="E67" s="756"/>
      <c r="F67" s="756"/>
      <c r="L67" s="1034"/>
      <c r="M67" s="1008" t="s">
        <v>242</v>
      </c>
      <c r="N67" s="982" t="s">
        <v>243</v>
      </c>
      <c r="O67" s="752">
        <v>1979</v>
      </c>
      <c r="P67" s="753">
        <v>25.32</v>
      </c>
      <c r="Q67" s="1027">
        <v>7330307.850464941</v>
      </c>
      <c r="R67" s="1028">
        <v>25468596.395834737</v>
      </c>
      <c r="S67" s="1139">
        <v>9286880.7768661436</v>
      </c>
      <c r="T67" s="1009">
        <f t="shared" si="13"/>
        <v>-0.6353595371912617</v>
      </c>
    </row>
    <row r="68" spans="2:20" ht="15.75" thickBot="1" x14ac:dyDescent="0.3">
      <c r="D68" s="756"/>
      <c r="E68" s="756"/>
      <c r="F68" s="756"/>
      <c r="L68" s="1035"/>
      <c r="M68" s="1751" t="s">
        <v>11</v>
      </c>
      <c r="N68" s="1752"/>
      <c r="O68" s="1753"/>
      <c r="P68" s="1030">
        <f>SUM(P61:P67)</f>
        <v>191.92</v>
      </c>
      <c r="Q68" s="1031">
        <f t="shared" ref="Q68:S68" si="14">SUM(Q61:Q67)</f>
        <v>42621009.930275239</v>
      </c>
      <c r="R68" s="1031">
        <f t="shared" si="14"/>
        <v>114115511.23656169</v>
      </c>
      <c r="S68" s="1031">
        <f t="shared" si="14"/>
        <v>55061247.544418208</v>
      </c>
      <c r="T68" s="1043">
        <f t="shared" si="13"/>
        <v>-0.51749550128837329</v>
      </c>
    </row>
    <row r="69" spans="2:20" x14ac:dyDescent="0.25">
      <c r="B69" s="757"/>
      <c r="C69" s="758"/>
      <c r="L69" s="751"/>
      <c r="M69" s="1032"/>
      <c r="N69" s="1032"/>
      <c r="O69" s="1032"/>
      <c r="P69" s="1033"/>
      <c r="Q69" s="980"/>
      <c r="R69" s="980"/>
      <c r="S69" s="980"/>
      <c r="T69" s="1029"/>
    </row>
    <row r="70" spans="2:20" ht="15.75" thickBot="1" x14ac:dyDescent="0.3">
      <c r="B70" s="759"/>
      <c r="C70" s="759"/>
      <c r="L70" s="751"/>
      <c r="M70" s="1032"/>
      <c r="N70" s="1032"/>
      <c r="O70" s="1032"/>
      <c r="P70" s="1033"/>
      <c r="Q70" s="980"/>
      <c r="R70" s="980"/>
      <c r="S70" s="980"/>
      <c r="T70" s="1029"/>
    </row>
    <row r="71" spans="2:20" ht="15.75" thickBot="1" x14ac:dyDescent="0.3">
      <c r="B71" s="759"/>
      <c r="C71" s="759"/>
      <c r="L71" s="751" t="s">
        <v>215</v>
      </c>
      <c r="R71" s="1749" t="s">
        <v>40</v>
      </c>
      <c r="S71" s="1750"/>
    </row>
    <row r="72" spans="2:20" ht="47.25" customHeight="1" thickBot="1" x14ac:dyDescent="0.3">
      <c r="B72" s="759"/>
      <c r="C72" s="759"/>
      <c r="L72" s="999"/>
      <c r="M72" s="1754" t="s">
        <v>702</v>
      </c>
      <c r="N72" s="1755"/>
      <c r="O72" s="1005" t="s">
        <v>156</v>
      </c>
      <c r="P72" s="1005" t="s">
        <v>157</v>
      </c>
      <c r="Q72" s="1005" t="s">
        <v>877</v>
      </c>
      <c r="R72" s="1005" t="s">
        <v>878</v>
      </c>
      <c r="S72" s="1005" t="s">
        <v>879</v>
      </c>
      <c r="T72" s="1005" t="s">
        <v>692</v>
      </c>
    </row>
    <row r="73" spans="2:20" x14ac:dyDescent="0.25">
      <c r="B73" s="759"/>
      <c r="C73" s="759"/>
      <c r="L73" s="1002" t="s">
        <v>239</v>
      </c>
      <c r="M73" s="1048" t="s">
        <v>246</v>
      </c>
      <c r="N73" s="1046" t="s">
        <v>247</v>
      </c>
      <c r="O73" s="1038">
        <v>1976</v>
      </c>
      <c r="P73" s="1038">
        <v>0.81</v>
      </c>
      <c r="Q73" s="1039">
        <v>205439.50442595445</v>
      </c>
      <c r="R73" s="1047">
        <v>368466.29021965677</v>
      </c>
      <c r="S73" s="1134">
        <v>260274.90534382296</v>
      </c>
      <c r="T73" s="1041">
        <f>+S73/R73-1</f>
        <v>-0.2936262766706198</v>
      </c>
    </row>
    <row r="74" spans="2:20" ht="15.75" thickBot="1" x14ac:dyDescent="0.3">
      <c r="B74" s="759"/>
      <c r="C74" s="759"/>
      <c r="L74" s="1002" t="s">
        <v>228</v>
      </c>
      <c r="M74" s="176" t="s">
        <v>251</v>
      </c>
      <c r="N74" s="748" t="s">
        <v>252</v>
      </c>
      <c r="O74" s="752">
        <v>2008</v>
      </c>
      <c r="P74" s="752">
        <v>2.4000000000000004</v>
      </c>
      <c r="Q74" s="1027">
        <v>1073428.2380640004</v>
      </c>
      <c r="R74" s="750">
        <v>721285.36652855994</v>
      </c>
      <c r="S74" s="1136">
        <v>1359943.0386385578</v>
      </c>
      <c r="T74" s="1009">
        <f t="shared" ref="T74:T75" si="15">+S74/R74-1</f>
        <v>0.8854438225799075</v>
      </c>
    </row>
    <row r="75" spans="2:20" ht="15.75" thickBot="1" x14ac:dyDescent="0.3">
      <c r="L75" s="1035"/>
      <c r="M75" s="1752" t="s">
        <v>11</v>
      </c>
      <c r="N75" s="1752"/>
      <c r="O75" s="1753"/>
      <c r="P75" s="1021">
        <f>SUM(P73:P74)</f>
        <v>3.2100000000000004</v>
      </c>
      <c r="Q75" s="1044">
        <f>SUM(Q73:Q74)</f>
        <v>1278867.7424899549</v>
      </c>
      <c r="R75" s="1044">
        <f>SUM(R73:R74)</f>
        <v>1089751.6567482166</v>
      </c>
      <c r="S75" s="1022">
        <f>+SUM(S73:S74)</f>
        <v>1620217.9439823807</v>
      </c>
      <c r="T75" s="1045">
        <f t="shared" si="15"/>
        <v>0.48677722483768293</v>
      </c>
    </row>
    <row r="77" spans="2:20" x14ac:dyDescent="0.25">
      <c r="L77" s="1049" t="s">
        <v>609</v>
      </c>
      <c r="M77" s="1050"/>
      <c r="N77" s="1051" t="s">
        <v>11</v>
      </c>
      <c r="O77" s="1050"/>
      <c r="P77" s="1050"/>
      <c r="Q77" s="1018">
        <f>SUM(Q45+Q57+Q68+Q75)</f>
        <v>592759843.64811218</v>
      </c>
      <c r="R77" s="1018">
        <f>SUM(R45+R57+R68+R75)</f>
        <v>1695942707.7653029</v>
      </c>
      <c r="S77" s="1018">
        <f>SUM(S45+S57+S68+S75)</f>
        <v>809136768.35505939</v>
      </c>
      <c r="T77" s="1019">
        <f>+S77/R77-1</f>
        <v>-0.52289852443114859</v>
      </c>
    </row>
    <row r="78" spans="2:20" x14ac:dyDescent="0.25">
      <c r="L78" s="751" t="s">
        <v>215</v>
      </c>
    </row>
    <row r="79" spans="2:20" x14ac:dyDescent="0.25">
      <c r="R79" s="755"/>
      <c r="S79" s="755"/>
    </row>
    <row r="80" spans="2:20" ht="15.75" thickBot="1" x14ac:dyDescent="0.3"/>
    <row r="81" spans="12:20" ht="15.75" thickBot="1" x14ac:dyDescent="0.3">
      <c r="L81" s="751"/>
      <c r="R81" s="1749" t="s">
        <v>40</v>
      </c>
      <c r="S81" s="1750"/>
    </row>
    <row r="82" spans="12:20" ht="43.5" customHeight="1" thickBot="1" x14ac:dyDescent="0.3">
      <c r="L82" s="999"/>
      <c r="M82" s="1782"/>
      <c r="N82" s="1783"/>
      <c r="O82" s="1618" t="s">
        <v>156</v>
      </c>
      <c r="P82" s="1618" t="s">
        <v>157</v>
      </c>
      <c r="Q82" s="1618" t="s">
        <v>877</v>
      </c>
      <c r="R82" s="1618" t="s">
        <v>878</v>
      </c>
      <c r="S82" s="1618" t="s">
        <v>879</v>
      </c>
      <c r="T82" s="1618" t="s">
        <v>692</v>
      </c>
    </row>
    <row r="83" spans="12:20" ht="15.75" customHeight="1" x14ac:dyDescent="0.25">
      <c r="L83" s="1756" t="s">
        <v>921</v>
      </c>
      <c r="M83" s="1619" t="s">
        <v>892</v>
      </c>
      <c r="N83" s="1620" t="s">
        <v>893</v>
      </c>
      <c r="O83" s="1619">
        <v>2024</v>
      </c>
      <c r="P83" s="1623">
        <v>16.399999999999999</v>
      </c>
      <c r="Q83" s="1626"/>
      <c r="R83" s="1628">
        <v>10492486.923162986</v>
      </c>
      <c r="S83" s="1628">
        <v>11383075.6556</v>
      </c>
      <c r="T83" s="1009">
        <f t="shared" ref="T83:T85" si="16">+S83/R83-1</f>
        <v>8.4878707875343684E-2</v>
      </c>
    </row>
    <row r="84" spans="12:20" x14ac:dyDescent="0.25">
      <c r="L84" s="1757"/>
      <c r="M84" s="1616" t="s">
        <v>894</v>
      </c>
      <c r="N84" s="1617" t="s">
        <v>895</v>
      </c>
      <c r="O84" s="1616">
        <v>2024</v>
      </c>
      <c r="P84" s="1624">
        <v>16.45</v>
      </c>
      <c r="Q84" s="1626"/>
      <c r="R84" s="1629">
        <v>10479222.085080603</v>
      </c>
      <c r="S84" s="1629">
        <v>11417780.154549999</v>
      </c>
      <c r="T84" s="1009">
        <f t="shared" si="16"/>
        <v>8.9563715879791506E-2</v>
      </c>
    </row>
    <row r="85" spans="12:20" ht="15.75" thickBot="1" x14ac:dyDescent="0.3">
      <c r="L85" s="1758"/>
      <c r="M85" s="1621" t="s">
        <v>896</v>
      </c>
      <c r="N85" s="1622" t="s">
        <v>897</v>
      </c>
      <c r="O85" s="1621">
        <v>2024</v>
      </c>
      <c r="P85" s="1625">
        <v>1.1200000000000001</v>
      </c>
      <c r="Q85" s="1627"/>
      <c r="R85" s="1630">
        <v>1386175.5796087629</v>
      </c>
      <c r="S85" s="1630">
        <v>777380.77647999988</v>
      </c>
      <c r="T85" s="1009">
        <f t="shared" si="16"/>
        <v>-0.43919025272439915</v>
      </c>
    </row>
    <row r="86" spans="12:20" ht="15.75" thickBot="1" x14ac:dyDescent="0.3">
      <c r="L86" s="1361"/>
      <c r="M86" s="1362"/>
      <c r="N86" s="1362"/>
      <c r="O86" s="1363"/>
      <c r="P86" s="1363"/>
      <c r="Q86" s="1363"/>
      <c r="R86" s="1363"/>
      <c r="S86" s="1363"/>
      <c r="T86" s="1364"/>
    </row>
    <row r="87" spans="12:20" x14ac:dyDescent="0.25">
      <c r="L87" s="1365" t="s">
        <v>239</v>
      </c>
      <c r="M87" s="176" t="s">
        <v>254</v>
      </c>
      <c r="N87" s="748" t="s">
        <v>255</v>
      </c>
      <c r="O87" s="752">
        <v>1979</v>
      </c>
      <c r="P87" s="1366">
        <v>6.18</v>
      </c>
      <c r="Q87" s="1027">
        <v>1250252.3617040773</v>
      </c>
      <c r="R87" s="1636">
        <v>2217139.978199556</v>
      </c>
      <c r="S87" s="1134">
        <v>1822691.4772799998</v>
      </c>
      <c r="T87" s="1009">
        <f>+S87/R87-1</f>
        <v>-0.17790870436600525</v>
      </c>
    </row>
    <row r="88" spans="12:20" x14ac:dyDescent="0.25">
      <c r="L88" s="1365" t="s">
        <v>228</v>
      </c>
      <c r="M88" s="176" t="s">
        <v>257</v>
      </c>
      <c r="N88" s="748" t="s">
        <v>258</v>
      </c>
      <c r="O88" s="752">
        <v>1979</v>
      </c>
      <c r="P88" s="1366">
        <v>1.7</v>
      </c>
      <c r="Q88" s="1027">
        <v>343920.55257231899</v>
      </c>
      <c r="R88" s="1637">
        <v>609892.87426201359</v>
      </c>
      <c r="S88" s="1135">
        <v>501387.62319999997</v>
      </c>
      <c r="T88" s="1009">
        <f t="shared" ref="T88:T91" si="17">+S88/R88-1</f>
        <v>-0.17790870436600492</v>
      </c>
    </row>
    <row r="89" spans="12:20" x14ac:dyDescent="0.25">
      <c r="L89" s="1367"/>
      <c r="M89" s="176" t="s">
        <v>260</v>
      </c>
      <c r="N89" s="748" t="s">
        <v>261</v>
      </c>
      <c r="O89" s="752">
        <v>1982</v>
      </c>
      <c r="P89" s="1366">
        <v>0.5</v>
      </c>
      <c r="Q89" s="1027">
        <v>101153.10369774089</v>
      </c>
      <c r="R89" s="1637">
        <v>179380.25713588638</v>
      </c>
      <c r="S89" s="1135">
        <v>147466.948</v>
      </c>
      <c r="T89" s="1009">
        <f t="shared" si="17"/>
        <v>-0.17790870436600503</v>
      </c>
    </row>
    <row r="90" spans="12:20" ht="15.75" customHeight="1" thickBot="1" x14ac:dyDescent="0.3">
      <c r="L90" s="1368"/>
      <c r="M90" s="1369" t="s">
        <v>263</v>
      </c>
      <c r="N90" s="1370" t="s">
        <v>264</v>
      </c>
      <c r="O90" s="1371">
        <v>1988</v>
      </c>
      <c r="P90" s="1615">
        <v>27.75</v>
      </c>
      <c r="Q90" s="1372">
        <v>5613997.2552246181</v>
      </c>
      <c r="R90" s="1638">
        <v>9955604.2710416932</v>
      </c>
      <c r="S90" s="1136">
        <v>8184415.6139999982</v>
      </c>
      <c r="T90" s="1373">
        <f t="shared" si="17"/>
        <v>-0.17790870436600514</v>
      </c>
    </row>
    <row r="91" spans="12:20" ht="41.25" customHeight="1" thickBot="1" x14ac:dyDescent="0.4">
      <c r="L91" s="1639" t="s">
        <v>610</v>
      </c>
      <c r="M91" s="1631"/>
      <c r="N91" s="1632" t="s">
        <v>11</v>
      </c>
      <c r="O91" s="1631"/>
      <c r="P91" s="1633">
        <f>SUM(P87:P90)</f>
        <v>36.129999999999995</v>
      </c>
      <c r="Q91" s="1634">
        <f>SUM(Q87:Q90)</f>
        <v>7309323.2731987555</v>
      </c>
      <c r="R91" s="1374">
        <f>SUM(R83:R90)</f>
        <v>35319901.968491502</v>
      </c>
      <c r="S91" s="1374">
        <f>+SUM(S83:S90)</f>
        <v>34234198.249109991</v>
      </c>
      <c r="T91" s="1635">
        <f t="shared" si="17"/>
        <v>-3.073914871989325E-2</v>
      </c>
    </row>
    <row r="92" spans="12:20" ht="42.75" customHeight="1" thickBot="1" x14ac:dyDescent="0.3"/>
    <row r="93" spans="12:20" ht="27" customHeight="1" thickBot="1" x14ac:dyDescent="0.3">
      <c r="R93" s="1053" t="s">
        <v>706</v>
      </c>
      <c r="S93" s="1054">
        <f>+VNR_Lineas</f>
        <v>809136768.35505939</v>
      </c>
    </row>
    <row r="94" spans="12:20" ht="28.5" customHeight="1" x14ac:dyDescent="0.25"/>
    <row r="103" spans="3:4" x14ac:dyDescent="0.25">
      <c r="C103" s="748" t="s">
        <v>249</v>
      </c>
      <c r="D103" s="760">
        <f>+D59+D61+D63</f>
        <v>2378066841.5520945</v>
      </c>
    </row>
    <row r="104" spans="3:4" x14ac:dyDescent="0.25">
      <c r="C104" s="761" t="s">
        <v>268</v>
      </c>
      <c r="D104" s="762">
        <f>+D103</f>
        <v>2378066841.5520945</v>
      </c>
    </row>
    <row r="106" spans="3:4" x14ac:dyDescent="0.25">
      <c r="C106" s="748" t="s">
        <v>269</v>
      </c>
      <c r="D106" s="755">
        <f>+VNR_Lineas</f>
        <v>809136768.35505939</v>
      </c>
    </row>
    <row r="107" spans="3:4" x14ac:dyDescent="0.25">
      <c r="C107" s="748" t="s">
        <v>270</v>
      </c>
      <c r="D107" s="755">
        <f>+G28</f>
        <v>637183629.36900103</v>
      </c>
    </row>
    <row r="108" spans="3:4" x14ac:dyDescent="0.25">
      <c r="C108" s="748" t="s">
        <v>271</v>
      </c>
      <c r="D108" s="755">
        <f>+G37</f>
        <v>54325185.275112577</v>
      </c>
    </row>
    <row r="109" spans="3:4" x14ac:dyDescent="0.25">
      <c r="C109" s="761" t="s">
        <v>268</v>
      </c>
      <c r="D109" s="763">
        <f>+VNR_Lineas+G28+G37</f>
        <v>1500645582.9991732</v>
      </c>
    </row>
    <row r="111" spans="3:4" x14ac:dyDescent="0.25">
      <c r="D111" s="764">
        <f>+D109/D64-1</f>
        <v>-0.41132796663761706</v>
      </c>
    </row>
    <row r="131" spans="2:6" ht="15.75" thickBot="1" x14ac:dyDescent="0.3"/>
    <row r="132" spans="2:6" ht="15.75" thickBot="1" x14ac:dyDescent="0.3">
      <c r="C132" s="765" t="s">
        <v>248</v>
      </c>
      <c r="D132" s="766" t="s">
        <v>249</v>
      </c>
      <c r="E132" s="767" t="s">
        <v>250</v>
      </c>
      <c r="F132" s="971"/>
    </row>
    <row r="133" spans="2:6" x14ac:dyDescent="0.25">
      <c r="B133" s="768" t="s">
        <v>253</v>
      </c>
      <c r="C133" s="769">
        <v>230411895.76401484</v>
      </c>
      <c r="D133" s="770">
        <v>348431106.74645525</v>
      </c>
      <c r="E133" s="771">
        <v>385512053.64238614</v>
      </c>
      <c r="F133" s="754"/>
    </row>
    <row r="134" spans="2:6" x14ac:dyDescent="0.25">
      <c r="B134" s="772" t="s">
        <v>256</v>
      </c>
      <c r="C134" s="773">
        <v>4114080</v>
      </c>
      <c r="D134" s="774">
        <v>6494763.1425745506</v>
      </c>
      <c r="E134" s="775">
        <v>7482446.0167909563</v>
      </c>
      <c r="F134" s="754"/>
    </row>
    <row r="135" spans="2:6" x14ac:dyDescent="0.25">
      <c r="B135" s="772" t="s">
        <v>259</v>
      </c>
      <c r="C135" s="773">
        <v>165196416.07344368</v>
      </c>
      <c r="D135" s="774">
        <v>245530481.49300849</v>
      </c>
      <c r="E135" s="775">
        <v>300751737.30438381</v>
      </c>
      <c r="F135" s="754"/>
    </row>
    <row r="136" spans="2:6" x14ac:dyDescent="0.25">
      <c r="B136" s="772" t="s">
        <v>262</v>
      </c>
      <c r="C136" s="773">
        <v>27733774.29710488</v>
      </c>
      <c r="D136" s="774">
        <v>49089337.133500792</v>
      </c>
      <c r="E136" s="775">
        <v>59839508.611118525</v>
      </c>
      <c r="F136" s="754"/>
    </row>
    <row r="137" spans="2:6" ht="15.75" thickBot="1" x14ac:dyDescent="0.3">
      <c r="B137" s="776" t="s">
        <v>265</v>
      </c>
      <c r="C137" s="777" t="s">
        <v>266</v>
      </c>
      <c r="D137" s="778">
        <v>12328578.80273428</v>
      </c>
      <c r="E137" s="779">
        <v>14395727.970717791</v>
      </c>
      <c r="F137" s="754"/>
    </row>
    <row r="138" spans="2:6" ht="15.75" thickBot="1" x14ac:dyDescent="0.3">
      <c r="B138" s="780" t="s">
        <v>11</v>
      </c>
      <c r="C138" s="781">
        <v>427456166.13456339</v>
      </c>
      <c r="D138" s="782">
        <v>661874267.31827343</v>
      </c>
      <c r="E138" s="783">
        <v>767981473.54539716</v>
      </c>
      <c r="F138" s="754"/>
    </row>
    <row r="140" spans="2:6" x14ac:dyDescent="0.25">
      <c r="C140" s="748" t="s">
        <v>249</v>
      </c>
      <c r="D140" s="760">
        <f>+D133+D135+D137</f>
        <v>606290167.04219806</v>
      </c>
    </row>
    <row r="141" spans="2:6" x14ac:dyDescent="0.25">
      <c r="C141" s="748" t="s">
        <v>272</v>
      </c>
      <c r="D141" s="760">
        <f>+'[1]Plan de Expansión'!C10*1000+'[1]Plan de Expansión'!D10*10000</f>
        <v>0</v>
      </c>
    </row>
    <row r="142" spans="2:6" x14ac:dyDescent="0.25">
      <c r="C142" s="761" t="s">
        <v>268</v>
      </c>
      <c r="D142" s="762">
        <f>+D140+D141</f>
        <v>606290167.04219806</v>
      </c>
    </row>
    <row r="144" spans="2:6" x14ac:dyDescent="0.25">
      <c r="C144" s="748" t="s">
        <v>269</v>
      </c>
      <c r="D144" s="755">
        <f>+VNR_Lineas</f>
        <v>809136768.35505939</v>
      </c>
    </row>
    <row r="145" spans="3:4" x14ac:dyDescent="0.25">
      <c r="C145" s="748" t="s">
        <v>270</v>
      </c>
      <c r="D145" s="755">
        <f>+G28</f>
        <v>637183629.36900103</v>
      </c>
    </row>
    <row r="146" spans="3:4" x14ac:dyDescent="0.25">
      <c r="C146" s="748" t="s">
        <v>271</v>
      </c>
      <c r="D146" s="755">
        <f>+G37</f>
        <v>54325185.275112577</v>
      </c>
    </row>
    <row r="147" spans="3:4" x14ac:dyDescent="0.25">
      <c r="C147" s="761" t="s">
        <v>268</v>
      </c>
      <c r="D147" s="763">
        <f>+VNR_Lineas+G28+G37</f>
        <v>1500645582.9991732</v>
      </c>
    </row>
  </sheetData>
  <mergeCells count="21">
    <mergeCell ref="L83:L85"/>
    <mergeCell ref="Q9:S9"/>
    <mergeCell ref="T63:T65"/>
    <mergeCell ref="Q51:S51"/>
    <mergeCell ref="M10:N10"/>
    <mergeCell ref="M45:O45"/>
    <mergeCell ref="R59:S59"/>
    <mergeCell ref="M52:N52"/>
    <mergeCell ref="M57:O57"/>
    <mergeCell ref="Q11:Q14"/>
    <mergeCell ref="R11:R14"/>
    <mergeCell ref="S11:S14"/>
    <mergeCell ref="T11:T14"/>
    <mergeCell ref="S30:S33"/>
    <mergeCell ref="M82:N82"/>
    <mergeCell ref="R71:S71"/>
    <mergeCell ref="R81:S81"/>
    <mergeCell ref="M68:O68"/>
    <mergeCell ref="M60:N60"/>
    <mergeCell ref="M72:N72"/>
    <mergeCell ref="M75:O75"/>
  </mergeCells>
  <phoneticPr fontId="124" type="noConversion"/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DAB959520DE24FB346BB54DAF21A01" ma:contentTypeVersion="6" ma:contentTypeDescription="Create a new document." ma:contentTypeScope="" ma:versionID="72ff0b35d6903705c5541f5272518507">
  <xsd:schema xmlns:xsd="http://www.w3.org/2001/XMLSchema" xmlns:xs="http://www.w3.org/2001/XMLSchema" xmlns:p="http://schemas.microsoft.com/office/2006/metadata/properties" xmlns:ns3="26e61a0f-1a17-4f12-99f2-2366347c896c" targetNamespace="http://schemas.microsoft.com/office/2006/metadata/properties" ma:root="true" ma:fieldsID="2f034b363ce9b36b954bc57e0e25d406" ns3:_="">
    <xsd:import namespace="26e61a0f-1a17-4f12-99f2-2366347c896c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_activity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e61a0f-1a17-4f12-99f2-2366347c896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9" nillable="true" ma:displayName="_activity" ma:hidden="true" ma:internalName="_activity">
      <xsd:simpleType>
        <xsd:restriction base="dms:Not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6e61a0f-1a17-4f12-99f2-2366347c896c" xsi:nil="true"/>
  </documentManagement>
</p:properties>
</file>

<file path=customXml/itemProps1.xml><?xml version="1.0" encoding="utf-8"?>
<ds:datastoreItem xmlns:ds="http://schemas.openxmlformats.org/officeDocument/2006/customXml" ds:itemID="{1C254F78-E044-46BA-B071-79E5B807E3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e61a0f-1a17-4f12-99f2-2366347c89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A8E7566-1AB7-493B-AA82-0010B69C8E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029B5B-229D-448B-8F97-A07463D05F56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elements/1.1/"/>
    <ds:schemaRef ds:uri="26e61a0f-1a17-4f12-99f2-2366347c896c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27</vt:i4>
      </vt:variant>
    </vt:vector>
  </HeadingPairs>
  <TitlesOfParts>
    <vt:vector size="51" baseType="lpstr">
      <vt:lpstr>Resumen</vt:lpstr>
      <vt:lpstr>CX cxj Año1 </vt:lpstr>
      <vt:lpstr>CX cxj Año2</vt:lpstr>
      <vt:lpstr>CX cxj Año3</vt:lpstr>
      <vt:lpstr>CX cxj Año4</vt:lpstr>
      <vt:lpstr>VERIFICACIÓN DE INGRESOS</vt:lpstr>
      <vt:lpstr> VNR</vt:lpstr>
      <vt:lpstr>SALIDAS Y TRANSFORMACION</vt:lpstr>
      <vt:lpstr>VNR APROBADO</vt:lpstr>
      <vt:lpstr>Plan de Expansión</vt:lpstr>
      <vt:lpstr>N de Instalaciones</vt:lpstr>
      <vt:lpstr>IMP Existente APROBADO</vt:lpstr>
      <vt:lpstr>IPCT VNR_FA</vt:lpstr>
      <vt:lpstr>Parámetros de eficiencia</vt:lpstr>
      <vt:lpstr>Hoja1</vt:lpstr>
      <vt:lpstr>Activos Reconocidos</vt:lpstr>
      <vt:lpstr> IMP Existente 2017 2021</vt:lpstr>
      <vt:lpstr>Activos Reconocidos APROBADOS</vt:lpstr>
      <vt:lpstr>VNR consulta (015 17)</vt:lpstr>
      <vt:lpstr>Ingreso Conexion (1er sem)</vt:lpstr>
      <vt:lpstr>LL.SANCHEZ CONEX 230</vt:lpstr>
      <vt:lpstr>LL. SANCHEZ 230</vt:lpstr>
      <vt:lpstr>CHORRERA CONEX 230</vt:lpstr>
      <vt:lpstr>CH. AZUL CONEX 115</vt:lpstr>
      <vt:lpstr>' IMP Existente 2017 2021'!ActNetoHidro</vt:lpstr>
      <vt:lpstr>' IMP Existente 2017 2021'!Área_de_impresión</vt:lpstr>
      <vt:lpstr>' VNR'!Área_de_impresión</vt:lpstr>
      <vt:lpstr>'Activos Reconocidos APROBADOS'!Área_de_impresión</vt:lpstr>
      <vt:lpstr>'CX cxj Año1 '!Área_de_impresión</vt:lpstr>
      <vt:lpstr>'IMP Existente APROBADO'!Área_de_impresión</vt:lpstr>
      <vt:lpstr>'N de Instalaciones'!Área_de_impresión</vt:lpstr>
      <vt:lpstr>'Parámetros de eficiencia'!Área_de_impresión</vt:lpstr>
      <vt:lpstr>'Plan de Expansión'!Área_de_impresión</vt:lpstr>
      <vt:lpstr>Resumen!Área_de_impresión</vt:lpstr>
      <vt:lpstr>'SALIDAS Y TRANSFORMACION'!Área_de_impresión</vt:lpstr>
      <vt:lpstr>DepAnualHidro</vt:lpstr>
      <vt:lpstr>DepHidro</vt:lpstr>
      <vt:lpstr>' IMP Existente 2017 2021'!RRT</vt:lpstr>
      <vt:lpstr>'IMP Existente APROBADO'!RRT</vt:lpstr>
      <vt:lpstr>'CX cxj Año1 '!Títulos_a_imprimir</vt:lpstr>
      <vt:lpstr>Resumen!Títulos_a_imprimir</vt:lpstr>
      <vt:lpstr>'VERIFICACIÓN DE INGRESOS'!Títulos_a_imprimir</vt:lpstr>
      <vt:lpstr>'VNR APROBADO'!VNR_Lineas</vt:lpstr>
      <vt:lpstr>'VNR consulta (015 17)'!VNR_Lineas</vt:lpstr>
      <vt:lpstr>VNR_Lineas_Conexión</vt:lpstr>
      <vt:lpstr>'VNR APROBADO'!VNR_Subestaciones_Conexión</vt:lpstr>
      <vt:lpstr>'VNR consulta (015 17)'!VNR_Subestaciones_Conexión</vt:lpstr>
      <vt:lpstr>'VNR APROBADO'!VNR_Subestaciones_Estrategicas</vt:lpstr>
      <vt:lpstr>'VNR consulta (015 17)'!VNR_Subestaciones_Estrategicas</vt:lpstr>
      <vt:lpstr>'VNR APROBADO'!VNR_Subestaciones_SPT</vt:lpstr>
      <vt:lpstr>'VNR consulta (015 17)'!VNR_Subestaciones_SPT</vt:lpstr>
    </vt:vector>
  </TitlesOfParts>
  <Company>ETESA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Cálculo de Cargos por Conexión</dc:title>
  <dc:subject>Cálculos Preliminares con IMP en Consulta</dc:subject>
  <dc:creator>Mrivera</dc:creator>
  <dc:description>Información: VNR/Subetaciones: Luis Gomez: , VNRLíneas: Daniel Pereira&amp; Julio Ho; Calculos borrador: Ana Hernández; Revisión: Julio Ho</dc:description>
  <cp:lastModifiedBy>Enrique Hernandez Cárdenas</cp:lastModifiedBy>
  <cp:lastPrinted>2018-01-11T17:00:04Z</cp:lastPrinted>
  <dcterms:created xsi:type="dcterms:W3CDTF">2005-04-08T15:43:16Z</dcterms:created>
  <dcterms:modified xsi:type="dcterms:W3CDTF">2026-01-13T16:58:35Z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0x0101003DDAB959520DE24FB346BB54DAF21A01</vt:lpwstr>
  </property>
</Properties>
</file>