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hernandezc\Desktop\disco interno\Nuevo Regimen Tarifario 2025-2029\PLIEGO TARIFARIO 2025 -2029\CUARTA ENTREGA-USB PLIEGO TARIFARIO FINAL AJUSTADO\"/>
    </mc:Choice>
  </mc:AlternateContent>
  <xr:revisionPtr revIDLastSave="0" documentId="13_ncr:1_{16A0A076-A010-4310-B157-D865F41B8321}" xr6:coauthVersionLast="47" xr6:coauthVersionMax="47" xr10:uidLastSave="{00000000-0000-0000-0000-000000000000}"/>
  <bookViews>
    <workbookView xWindow="-110" yWindow="-110" windowWidth="19420" windowHeight="12220" tabRatio="868" firstSheet="4" activeTab="4" xr2:uid="{00000000-000D-0000-FFFF-FFFF00000000}"/>
  </bookViews>
  <sheets>
    <sheet name="AT4 D Y C" sheetId="46" state="hidden" r:id="rId1"/>
    <sheet name="AT3 D Y C" sheetId="45" state="hidden" r:id="rId2"/>
    <sheet name="AT2 D Y C" sheetId="44" state="hidden" r:id="rId3"/>
    <sheet name="AT1 D Y C" sheetId="43" state="hidden" r:id="rId4"/>
    <sheet name="Cargos SOI" sheetId="14" r:id="rId5"/>
    <sheet name="IMP Existente " sheetId="61" r:id="rId6"/>
    <sheet name="Resumen Dem  Y Cap" sheetId="38" r:id="rId7"/>
    <sheet name="Generacion y Demanda Nuevo" sheetId="67" r:id="rId8"/>
    <sheet name="Hoja1" sheetId="68" state="hidden" r:id="rId9"/>
    <sheet name="Julio-Dic 2013" sheetId="42" state="hidden" r:id="rId10"/>
    <sheet name="Balance" sheetId="49" state="hidden" r:id="rId11"/>
    <sheet name="ipc" sheetId="54" state="hidden" r:id="rId12"/>
    <sheet name="IMP" sheetId="47" state="hidden" r:id="rId13"/>
    <sheet name="Datos fijos año 1 Real" sheetId="57" state="hidden" r:id="rId14"/>
    <sheet name="IMP Actualizado viejo" sheetId="51" state="hidden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0" localSheetId="13">#REF!</definedName>
    <definedName name="\0" localSheetId="12">#REF!</definedName>
    <definedName name="\0" localSheetId="14">#REF!</definedName>
    <definedName name="\0">#REF!</definedName>
    <definedName name="\a" localSheetId="12">#REF!</definedName>
    <definedName name="\a" localSheetId="14">#REF!</definedName>
    <definedName name="\a">#REF!</definedName>
    <definedName name="\b" localSheetId="12">#REF!</definedName>
    <definedName name="\b" localSheetId="14">#REF!</definedName>
    <definedName name="\b">#REF!</definedName>
    <definedName name="\c" localSheetId="14">#REF!</definedName>
    <definedName name="\c">#REF!</definedName>
    <definedName name="\d" localSheetId="14">#REF!</definedName>
    <definedName name="\d">#REF!</definedName>
    <definedName name="\e" localSheetId="14">#REF!</definedName>
    <definedName name="\e">#REF!</definedName>
    <definedName name="\f" localSheetId="14">#REF!</definedName>
    <definedName name="\f">#REF!</definedName>
    <definedName name="\g" localSheetId="14">#REF!</definedName>
    <definedName name="\g">#REF!</definedName>
    <definedName name="\h" localSheetId="14">#REF!</definedName>
    <definedName name="\h">#REF!</definedName>
    <definedName name="\i" localSheetId="14">#REF!</definedName>
    <definedName name="\i">#REF!</definedName>
    <definedName name="\j" localSheetId="14">#REF!</definedName>
    <definedName name="\j">#REF!</definedName>
    <definedName name="\k" localSheetId="14">#REF!</definedName>
    <definedName name="\k">#REF!</definedName>
    <definedName name="\m" localSheetId="14">#REF!</definedName>
    <definedName name="\m">#REF!</definedName>
    <definedName name="\r" localSheetId="14">#REF!</definedName>
    <definedName name="\r">#REF!</definedName>
    <definedName name="\w" localSheetId="14">#REF!</definedName>
    <definedName name="\w">#REF!</definedName>
    <definedName name="\z" localSheetId="14">#REF!</definedName>
    <definedName name="\z">#REF!</definedName>
    <definedName name="____PRO2">#REF!</definedName>
    <definedName name="___PRO2">#REF!</definedName>
    <definedName name="__123Graph_AGrßfico1" hidden="1">'[1]2001-2005-Contraloría'!#REF!</definedName>
    <definedName name="__123Graph_XGrßfico1" hidden="1">'[1]2001-2005-Contraloría'!#REF!</definedName>
    <definedName name="__ABR1">#REF!</definedName>
    <definedName name="__ABR2">#REF!</definedName>
    <definedName name="__AGO1">#REF!</definedName>
    <definedName name="__AGO2">#REF!</definedName>
    <definedName name="__CFP1">#REF!</definedName>
    <definedName name="__COP1">#REF!</definedName>
    <definedName name="__CRM1">#REF!</definedName>
    <definedName name="__CRM2">#REF!</definedName>
    <definedName name="__DIC2">#REF!</definedName>
    <definedName name="__ENE1">#REF!</definedName>
    <definedName name="__ENE2">#REF!</definedName>
    <definedName name="__ERP1">#REF!</definedName>
    <definedName name="__ESP1">#REF!</definedName>
    <definedName name="__FEB1">#REF!</definedName>
    <definedName name="__FEB2">#REF!</definedName>
    <definedName name="__JUL1">#REF!</definedName>
    <definedName name="__JUL2">#REF!</definedName>
    <definedName name="__JUN1">#REF!</definedName>
    <definedName name="__JUN2">#REF!</definedName>
    <definedName name="__MAR1">#REF!</definedName>
    <definedName name="__MAR2">#REF!</definedName>
    <definedName name="__MAY1">#REF!</definedName>
    <definedName name="__MAY2">#REF!</definedName>
    <definedName name="__NOV1">#REF!</definedName>
    <definedName name="__NOV2">#REF!</definedName>
    <definedName name="__OAP1">#REF!</definedName>
    <definedName name="__OCT1">#REF!</definedName>
    <definedName name="__OCT2">#REF!</definedName>
    <definedName name="__PRO1">#REF!</definedName>
    <definedName name="__PRO2">#REF!</definedName>
    <definedName name="__PRO3">#REF!</definedName>
    <definedName name="__PRO4">#REF!</definedName>
    <definedName name="__RFP1">#REF!</definedName>
    <definedName name="__SE1">#REF!</definedName>
    <definedName name="__SE11">#REF!</definedName>
    <definedName name="__SE12">#REF!</definedName>
    <definedName name="__SE13">#REF!</definedName>
    <definedName name="__SE14">#REF!</definedName>
    <definedName name="__SE15">#REF!</definedName>
    <definedName name="__SE16">#REF!</definedName>
    <definedName name="__SE2">#REF!</definedName>
    <definedName name="__SE3">#REF!</definedName>
    <definedName name="__SE4">#REF!</definedName>
    <definedName name="__SE5">#REF!</definedName>
    <definedName name="__SE6">#REF!</definedName>
    <definedName name="__SEP1">#REF!</definedName>
    <definedName name="__SEP2">#REF!</definedName>
    <definedName name="__TST1">#REF!</definedName>
    <definedName name="__TST2">#REF!</definedName>
    <definedName name="__TST3">#REF!</definedName>
    <definedName name="_12__123Graph_XGrßfico_1A" hidden="1">'[1]2001-2005-Contraloría'!#REF!</definedName>
    <definedName name="_123Gph_AGrBfico3A" hidden="1">'[2]2001-2008Contraloría Historico'!#REF!</definedName>
    <definedName name="_123Graph_XGrBfico1B" hidden="1">'[2]2001-2008Contraloría Historico'!#REF!</definedName>
    <definedName name="_123Grph_XGrBfico2A" hidden="1">'[2]2001-2008Contraloría Historico'!#REF!</definedName>
    <definedName name="_123Grph_YGRBfico3" hidden="1">'[2]2001-2008Contraloría Historico'!#REF!</definedName>
    <definedName name="_12Val_" hidden="1">'[3]2001-2012 Contraloría Historico'!#REF!</definedName>
    <definedName name="_2" localSheetId="14">#REF!</definedName>
    <definedName name="_2">#REF!</definedName>
    <definedName name="_2__123Graph_AGrßfico_1A" hidden="1">'[1]2001-2005-Contraloría'!#REF!</definedName>
    <definedName name="_321" hidden="1">'[2]2001-2008Contraloría Historico'!#REF!</definedName>
    <definedName name="_3210" hidden="1">'[2]2001-2008Contraloría Historico'!#REF!</definedName>
    <definedName name="_4__123Graph_AGrßfico_1A" hidden="1">'[1]2001-2005-Contraloría'!#REF!</definedName>
    <definedName name="_4__123Graph_XGrßfico_1A" hidden="1">'[1]2001-2005-Contraloría'!#REF!</definedName>
    <definedName name="_43__123Graph_AGrßfico_1A" hidden="1">'[4]2001-2012 Contraloría Historico'!#REF!</definedName>
    <definedName name="_6__123Graph_AGrßfico_1A" hidden="1">'[1]2001-2005-Contraloría'!#REF!</definedName>
    <definedName name="_8__123Graph_XGrßfico_1A" hidden="1">'[1]2001-2005-Contraloría'!#REF!</definedName>
    <definedName name="_86__123Graph_XGrßfico_1A" hidden="1">'[4]2001-2012 Contraloría Historico'!#REF!</definedName>
    <definedName name="_ABR1">#REF!</definedName>
    <definedName name="_ABR2">#REF!</definedName>
    <definedName name="_AGO1">#REF!</definedName>
    <definedName name="_AGO2">#REF!</definedName>
    <definedName name="_CFP1" localSheetId="14">#REF!</definedName>
    <definedName name="_CFP1">#REF!</definedName>
    <definedName name="_COP1" localSheetId="14">#REF!</definedName>
    <definedName name="_COP1">#REF!</definedName>
    <definedName name="_CRM1">#REF!</definedName>
    <definedName name="_CRM2">#REF!</definedName>
    <definedName name="_DIC2">#REF!</definedName>
    <definedName name="_ENE1">#REF!</definedName>
    <definedName name="_ENE2">#REF!</definedName>
    <definedName name="_ERP1" localSheetId="14">#REF!</definedName>
    <definedName name="_ERP1">#REF!</definedName>
    <definedName name="_ESP1" localSheetId="14">#REF!</definedName>
    <definedName name="_ESP1">#REF!</definedName>
    <definedName name="_FEB1">#REF!</definedName>
    <definedName name="_FEB2">#REF!</definedName>
    <definedName name="_Fill" localSheetId="14" hidden="1">#REF!</definedName>
    <definedName name="_Fill" localSheetId="5" hidden="1">#REF!</definedName>
    <definedName name="_Fill" hidden="1">#REF!</definedName>
    <definedName name="_xlnm._FilterDatabase" localSheetId="7" hidden="1">'Generacion y Demanda Nuevo'!$A$2:$I$188</definedName>
    <definedName name="_intracorp" hidden="1">'[2]2001-2008Contraloría Historico'!#REF!</definedName>
    <definedName name="_intracorpGraph" hidden="1">'[2]2001-2008Contraloría Historico'!#REF!</definedName>
    <definedName name="_JUL1">#REF!</definedName>
    <definedName name="_JUL2">#REF!</definedName>
    <definedName name="_JUN1">#REF!</definedName>
    <definedName name="_JUN2">#REF!</definedName>
    <definedName name="_MAR1">#REF!</definedName>
    <definedName name="_MAR2">#REF!</definedName>
    <definedName name="_MAY1">#REF!</definedName>
    <definedName name="_MAY2">#REF!</definedName>
    <definedName name="_NOV1">#REF!</definedName>
    <definedName name="_NOV2">#REF!</definedName>
    <definedName name="_OAP1" localSheetId="14">#REF!</definedName>
    <definedName name="_OAP1">#REF!</definedName>
    <definedName name="_OCT1">#REF!</definedName>
    <definedName name="_OCT2">#REF!</definedName>
    <definedName name="_PRO1">#REF!</definedName>
    <definedName name="_PRO2" localSheetId="14">#REF!</definedName>
    <definedName name="_PRO2">#REF!</definedName>
    <definedName name="_PRO3" localSheetId="14">#REF!</definedName>
    <definedName name="_PRO3">#REF!</definedName>
    <definedName name="_PRO4" localSheetId="14">#REF!</definedName>
    <definedName name="_PRO4">#REF!</definedName>
    <definedName name="_RFP1" localSheetId="14">#REF!</definedName>
    <definedName name="_RFP1">#REF!</definedName>
    <definedName name="_SE1" localSheetId="14">#REF!</definedName>
    <definedName name="_SE1">#REF!</definedName>
    <definedName name="_SE11" localSheetId="14">#REF!</definedName>
    <definedName name="_SE11">#REF!</definedName>
    <definedName name="_SE12" localSheetId="14">#REF!</definedName>
    <definedName name="_SE12">#REF!</definedName>
    <definedName name="_SE13" localSheetId="14">#REF!</definedName>
    <definedName name="_SE13">#REF!</definedName>
    <definedName name="_SE14" localSheetId="14">#REF!</definedName>
    <definedName name="_SE14">#REF!</definedName>
    <definedName name="_SE15" localSheetId="14">#REF!</definedName>
    <definedName name="_SE15">#REF!</definedName>
    <definedName name="_SE16" localSheetId="14">#REF!</definedName>
    <definedName name="_SE16">#REF!</definedName>
    <definedName name="_SE2" localSheetId="14">#REF!</definedName>
    <definedName name="_SE2">#REF!</definedName>
    <definedName name="_SE3" localSheetId="14">#REF!</definedName>
    <definedName name="_SE3">#REF!</definedName>
    <definedName name="_SE4" localSheetId="14">#REF!</definedName>
    <definedName name="_SE4">#REF!</definedName>
    <definedName name="_SE5" localSheetId="14">#REF!</definedName>
    <definedName name="_SE5">#REF!</definedName>
    <definedName name="_SE6" localSheetId="14">#REF!</definedName>
    <definedName name="_SE6">#REF!</definedName>
    <definedName name="_SEP1">#REF!</definedName>
    <definedName name="_SEP2">#REF!</definedName>
    <definedName name="_TST1" localSheetId="14">#REF!</definedName>
    <definedName name="_TST1">#REF!</definedName>
    <definedName name="_TST2" localSheetId="14">#REF!</definedName>
    <definedName name="_TST2">#REF!</definedName>
    <definedName name="_TST3" localSheetId="14">#REF!</definedName>
    <definedName name="_TST3">#REF!</definedName>
    <definedName name="A_IMPRESIÓN_IM" localSheetId="14">#REF!</definedName>
    <definedName name="A_IMPRESIÓN_IM">#REF!</definedName>
    <definedName name="ActNetoHidro" localSheetId="13">'[5]IMPA Indicativo'!#REF!</definedName>
    <definedName name="ActNetoHidro" localSheetId="5">'IMP Existente '!#REF!</definedName>
    <definedName name="ActNetoHidro">'[5]IMPA Indicativo'!#REF!</definedName>
    <definedName name="ACTUAL" localSheetId="13">#REF!</definedName>
    <definedName name="ACTUAL" localSheetId="14">#REF!</definedName>
    <definedName name="ACTUAL">#REF!</definedName>
    <definedName name="ANOS" localSheetId="14">#REF!</definedName>
    <definedName name="ANOS">#REF!</definedName>
    <definedName name="ANOSHIS" localSheetId="14">#REF!</definedName>
    <definedName name="ANOSHIS">#REF!</definedName>
    <definedName name="ANOUNO" localSheetId="14">#REF!</definedName>
    <definedName name="ANOUNO">#REF!</definedName>
    <definedName name="_xlnm.Extract" localSheetId="14">#REF!</definedName>
    <definedName name="_xlnm.Extract">#REF!</definedName>
    <definedName name="_xlnm.Print_Area" localSheetId="4">'Cargos SOI'!$B$1:$H$30</definedName>
    <definedName name="_xlnm.Print_Area" localSheetId="13">'Datos fijos año 1 Real'!$A$15:$E$161</definedName>
    <definedName name="_xlnm.Print_Area" localSheetId="14">'IMP Actualizado viejo'!$A$1:$N$96</definedName>
    <definedName name="_xlnm.Print_Area" localSheetId="11">ipc!$A$1:$R$46</definedName>
    <definedName name="ASSUMPTIONS" localSheetId="13">#REF!</definedName>
    <definedName name="ASSUMPTIONS" localSheetId="12">#REF!</definedName>
    <definedName name="ASSUMPTIONS" localSheetId="14">#REF!</definedName>
    <definedName name="ASSUMPTIONS">#REF!</definedName>
    <definedName name="AUF">#REF!</definedName>
    <definedName name="BALANCE_SH" localSheetId="12">#REF!</definedName>
    <definedName name="BALANCE_SH" localSheetId="14">#REF!</definedName>
    <definedName name="BALANCE_SH">#REF!</definedName>
    <definedName name="Base_datos_IM" localSheetId="12">#REF!</definedName>
    <definedName name="Base_datos_IM" localSheetId="14">#REF!</definedName>
    <definedName name="Base_datos_IM">#REF!</definedName>
    <definedName name="_xlnm.Database" localSheetId="14">#REF!</definedName>
    <definedName name="_xlnm.Database">#REF!</definedName>
    <definedName name="BASIC_DATA" localSheetId="14">#REF!</definedName>
    <definedName name="BASIC_DATA">#REF!</definedName>
    <definedName name="BASICO" localSheetId="14">#REF!</definedName>
    <definedName name="BASICO">#REF!</definedName>
    <definedName name="BLANK" localSheetId="14">#REF!</definedName>
    <definedName name="BLANK">#REF!</definedName>
    <definedName name="Blev" localSheetId="14">#REF!</definedName>
    <definedName name="Blev">#REF!</definedName>
    <definedName name="Bu" localSheetId="14">#REF!</definedName>
    <definedName name="Bu">#REF!</definedName>
    <definedName name="CALCULAR" localSheetId="14">#REF!</definedName>
    <definedName name="CALCULAR">#REF!</definedName>
    <definedName name="CASH_FL" localSheetId="14">#REF!</definedName>
    <definedName name="CASH_FL">#REF!</definedName>
    <definedName name="CASH_FLOW_RPT" localSheetId="14">#REF!</definedName>
    <definedName name="CASH_FLOW_RPT">#REF!</definedName>
    <definedName name="CASH_RPT_BR_ROW" localSheetId="14">#REF!</definedName>
    <definedName name="CASH_RPT_BR_ROW">#REF!</definedName>
    <definedName name="CASH_RPT_HEADER" localSheetId="14">#REF!</definedName>
    <definedName name="CASH_RPT_HEADER">#REF!</definedName>
    <definedName name="CASHFLOW" localSheetId="14">#REF!</definedName>
    <definedName name="CASHFLOW">#REF!</definedName>
    <definedName name="CBASE" localSheetId="14">#REF!</definedName>
    <definedName name="CBASE">#REF!</definedName>
    <definedName name="CCC" localSheetId="14">#REF!</definedName>
    <definedName name="CCC">#REF!</definedName>
    <definedName name="CF_CY" localSheetId="14">#REF!</definedName>
    <definedName name="CF_CY">#REF!</definedName>
    <definedName name="CFP" localSheetId="14">#REF!</definedName>
    <definedName name="CFP">#REF!</definedName>
    <definedName name="CFPC" localSheetId="14">#REF!</definedName>
    <definedName name="CFPC">#REF!</definedName>
    <definedName name="CFPDATA" localSheetId="14">#REF!</definedName>
    <definedName name="CFPDATA">#REF!</definedName>
    <definedName name="CFPTITLES" localSheetId="14">#REF!</definedName>
    <definedName name="CFPTITLES">#REF!</definedName>
    <definedName name="CFTITLE" localSheetId="14">#REF!</definedName>
    <definedName name="CFTITLE">#REF!</definedName>
    <definedName name="CFUNIT" localSheetId="14">#REF!</definedName>
    <definedName name="CFUNIT">#REF!</definedName>
    <definedName name="CHANGES" localSheetId="14">#REF!</definedName>
    <definedName name="CHANGES">#REF!</definedName>
    <definedName name="CHECAMAC" localSheetId="14">#REF!</definedName>
    <definedName name="CHECAMAC">#REF!</definedName>
    <definedName name="CHECAOPT" localSheetId="14">#REF!</definedName>
    <definedName name="CHECAOPT">#REF!</definedName>
    <definedName name="CO_CY" localSheetId="14">#REF!</definedName>
    <definedName name="CO_CY">#REF!</definedName>
    <definedName name="COLTOTAL" localSheetId="14">#REF!</definedName>
    <definedName name="COLTOTAL">#REF!</definedName>
    <definedName name="COLWIDE" localSheetId="14">#REF!</definedName>
    <definedName name="COLWIDE">#REF!</definedName>
    <definedName name="CON_ACC_REC" localSheetId="14">#REF!</definedName>
    <definedName name="CON_ACC_REC">#REF!</definedName>
    <definedName name="CON_ALL_REPORT" localSheetId="14">#REF!</definedName>
    <definedName name="CON_ALL_REPORT">#REF!</definedName>
    <definedName name="CON_NETWORTH" localSheetId="14">#REF!</definedName>
    <definedName name="CON_NETWORTH">#REF!</definedName>
    <definedName name="CON_PAS_COR" localSheetId="14">#REF!</definedName>
    <definedName name="CON_PAS_COR">#REF!</definedName>
    <definedName name="CON_REPT_FOOTER" localSheetId="14">#REF!</definedName>
    <definedName name="CON_REPT_FOOTER">#REF!</definedName>
    <definedName name="CON_REPT_HEADER" localSheetId="14">#REF!</definedName>
    <definedName name="CON_REPT_HEADER">#REF!</definedName>
    <definedName name="CON_REVENUE" localSheetId="14">#REF!</definedName>
    <definedName name="CON_REVENUE">#REF!</definedName>
    <definedName name="CON_RPT_BOR_COL" localSheetId="14">#REF!</definedName>
    <definedName name="CON_RPT_BOR_COL">#REF!</definedName>
    <definedName name="CON_RPT_BOR_ROW" localSheetId="14">#REF!</definedName>
    <definedName name="CON_RPT_BOR_ROW">#REF!</definedName>
    <definedName name="CON_VOLUMES" localSheetId="14">#REF!</definedName>
    <definedName name="CON_VOLUMES">#REF!</definedName>
    <definedName name="CONEX" localSheetId="14">#REF!</definedName>
    <definedName name="CONEX">#REF!</definedName>
    <definedName name="CONSOL_FIXED_AS" localSheetId="14">#REF!</definedName>
    <definedName name="CONSOL_FIXED_AS">#REF!</definedName>
    <definedName name="CONSOL_FUENTE_I" localSheetId="14">#REF!</definedName>
    <definedName name="CONSOL_FUENTE_I">#REF!</definedName>
    <definedName name="CONSOL_RPT" localSheetId="14">#REF!</definedName>
    <definedName name="CONSOL_RPT">#REF!</definedName>
    <definedName name="CONSOLIDA" localSheetId="14">#REF!</definedName>
    <definedName name="CONSOLIDA">#REF!</definedName>
    <definedName name="CONSOLIDATION" localSheetId="14">#REF!</definedName>
    <definedName name="CONSOLIDATION">#REF!</definedName>
    <definedName name="COP" localSheetId="14">#REF!</definedName>
    <definedName name="COP">#REF!</definedName>
    <definedName name="COPDATA" localSheetId="14">#REF!</definedName>
    <definedName name="COPDATA">#REF!</definedName>
    <definedName name="COTITLE" localSheetId="14">#REF!</definedName>
    <definedName name="COTITLE">#REF!</definedName>
    <definedName name="COUNIT" localSheetId="14">#REF!</definedName>
    <definedName name="COUNIT">#REF!</definedName>
    <definedName name="_xlnm.Criteria" localSheetId="14">#REF!</definedName>
    <definedName name="_xlnm.Criteria">#REF!</definedName>
    <definedName name="Criterios_IM" localSheetId="14">#REF!</definedName>
    <definedName name="Criterios_IM">#REF!</definedName>
    <definedName name="CSD" localSheetId="14">#REF!</definedName>
    <definedName name="CSD">#REF!</definedName>
    <definedName name="CY_DOLAR" localSheetId="14">#REF!</definedName>
    <definedName name="CY_DOLAR">#REF!</definedName>
    <definedName name="CY_LOCAL" localSheetId="14">#REF!</definedName>
    <definedName name="CY_LOCAL">#REF!</definedName>
    <definedName name="D" localSheetId="11">#REF!</definedName>
    <definedName name="D">#REF!</definedName>
    <definedName name="D1_" localSheetId="11">#REF!</definedName>
    <definedName name="D1_">#REF!</definedName>
    <definedName name="D2_" localSheetId="11">#REF!</definedName>
    <definedName name="D2_">#REF!</definedName>
    <definedName name="D3_" localSheetId="11">#REF!</definedName>
    <definedName name="D3_">#REF!</definedName>
    <definedName name="D4_" localSheetId="11">#REF!</definedName>
    <definedName name="D4_">#REF!</definedName>
    <definedName name="D5_">#N/A</definedName>
    <definedName name="D6_">#N/A</definedName>
    <definedName name="D7_" localSheetId="13">#REF!</definedName>
    <definedName name="D7_" localSheetId="11">#REF!</definedName>
    <definedName name="D7_">#REF!</definedName>
    <definedName name="D8_" localSheetId="11">#REF!</definedName>
    <definedName name="D8_">#REF!</definedName>
    <definedName name="DATOSE" localSheetId="14">#REF!</definedName>
    <definedName name="DATOSE">#REF!</definedName>
    <definedName name="DBHH" localSheetId="14">#REF!</definedName>
    <definedName name="DBHH">#REF!</definedName>
    <definedName name="DBPC" localSheetId="14">#REF!</definedName>
    <definedName name="DBPC">#REF!</definedName>
    <definedName name="DBT" localSheetId="14">#REF!</definedName>
    <definedName name="DBT">#REF!</definedName>
    <definedName name="DCOL" localSheetId="14">#REF!</definedName>
    <definedName name="DCOL">#REF!</definedName>
    <definedName name="DE" localSheetId="14">#REF!</definedName>
    <definedName name="DE">#REF!</definedName>
    <definedName name="DECI" localSheetId="14">#REF!</definedName>
    <definedName name="DECI">#REF!</definedName>
    <definedName name="DENOMINATION" localSheetId="14">#REF!</definedName>
    <definedName name="DENOMINATION">#REF!</definedName>
    <definedName name="DEPRINT" localSheetId="14">#REF!</definedName>
    <definedName name="DEPRINT">#REF!</definedName>
    <definedName name="derfgtttttt">[6]Hidrometeorología!$D$14</definedName>
    <definedName name="DEUDA" localSheetId="14">#REF!</definedName>
    <definedName name="DEUDA">#REF!</definedName>
    <definedName name="DEUDAL" localSheetId="14">#REF!</definedName>
    <definedName name="DEUDAL">#REF!</definedName>
    <definedName name="dfres">[6]Hidrometeorología!$D$14</definedName>
    <definedName name="DV" localSheetId="14">#REF!</definedName>
    <definedName name="DV">#REF!</definedName>
    <definedName name="ENTRY" localSheetId="14">#REF!</definedName>
    <definedName name="ENTRY">#REF!</definedName>
    <definedName name="ER_CY" localSheetId="14">#REF!</definedName>
    <definedName name="ER_CY">#REF!</definedName>
    <definedName name="ERHACTUAL" localSheetId="14">#REF!</definedName>
    <definedName name="ERHACTUAL">#REF!</definedName>
    <definedName name="ERHDATA10YEARS" localSheetId="14">#REF!</definedName>
    <definedName name="ERHDATA10YEARS">#REF!</definedName>
    <definedName name="ERHDATA5" localSheetId="14">#REF!</definedName>
    <definedName name="ERHDATA5">#REF!</definedName>
    <definedName name="ERHTITLES" localSheetId="14">#REF!</definedName>
    <definedName name="ERHTITLES">#REF!</definedName>
    <definedName name="ERP" localSheetId="14">#REF!</definedName>
    <definedName name="ERP">#REF!</definedName>
    <definedName name="ERP_LAST" localSheetId="14">#REF!</definedName>
    <definedName name="ERP_LAST">#REF!</definedName>
    <definedName name="ERP0" localSheetId="14">#REF!</definedName>
    <definedName name="ERP0">#REF!</definedName>
    <definedName name="ERPC" localSheetId="14">#REF!</definedName>
    <definedName name="ERPC">#REF!</definedName>
    <definedName name="ERPDATA" localSheetId="14">#REF!</definedName>
    <definedName name="ERPDATA">#REF!</definedName>
    <definedName name="ERPTITLES" localSheetId="14">#REF!</definedName>
    <definedName name="ERPTITLES">#REF!</definedName>
    <definedName name="ERPUNO" localSheetId="14">#REF!</definedName>
    <definedName name="ERPUNO">#REF!</definedName>
    <definedName name="ERPWP" localSheetId="14">#REF!</definedName>
    <definedName name="ERPWP">#REF!</definedName>
    <definedName name="ERTITLE" localSheetId="14">#REF!</definedName>
    <definedName name="ERTITLE">#REF!</definedName>
    <definedName name="ERUNIT" localSheetId="14">#REF!</definedName>
    <definedName name="ERUNIT">#REF!</definedName>
    <definedName name="ES_CY" localSheetId="14">#REF!</definedName>
    <definedName name="ES_CY">#REF!</definedName>
    <definedName name="ESP" localSheetId="14">#REF!</definedName>
    <definedName name="ESP">#REF!</definedName>
    <definedName name="ESP_LAST" localSheetId="14">#REF!</definedName>
    <definedName name="ESP_LAST">#REF!</definedName>
    <definedName name="ESP0" localSheetId="14">#REF!</definedName>
    <definedName name="ESP0">#REF!</definedName>
    <definedName name="ESPACTUAL" localSheetId="14">#REF!</definedName>
    <definedName name="ESPACTUAL">#REF!</definedName>
    <definedName name="ESPANOL" localSheetId="14">#REF!</definedName>
    <definedName name="ESPANOL">#REF!</definedName>
    <definedName name="ESPC" localSheetId="14">#REF!</definedName>
    <definedName name="ESPC">#REF!</definedName>
    <definedName name="ESPDATA" localSheetId="14">#REF!</definedName>
    <definedName name="ESPDATA">#REF!</definedName>
    <definedName name="ESPTITLES" localSheetId="14">#REF!</definedName>
    <definedName name="ESPTITLES">#REF!</definedName>
    <definedName name="ESPUNO" localSheetId="14">#REF!</definedName>
    <definedName name="ESPUNO">#REF!</definedName>
    <definedName name="ESTITLE" localSheetId="14">#REF!</definedName>
    <definedName name="ESTITLE">#REF!</definedName>
    <definedName name="ESUNIT" localSheetId="14">#REF!</definedName>
    <definedName name="ESUNIT">#REF!</definedName>
    <definedName name="EXIT" localSheetId="14">#REF!</definedName>
    <definedName name="EXIT">#REF!</definedName>
    <definedName name="Extracción_IM" localSheetId="14">#REF!</definedName>
    <definedName name="Extracción_IM">#REF!</definedName>
    <definedName name="FACEL" localSheetId="14">#REF!</definedName>
    <definedName name="FACEL">#REF!</definedName>
    <definedName name="FACWA" localSheetId="14">#REF!</definedName>
    <definedName name="FACWA">#REF!</definedName>
    <definedName name="FILE1" localSheetId="14">#REF!</definedName>
    <definedName name="FILE1">#REF!</definedName>
    <definedName name="FILE2" localSheetId="14">#REF!</definedName>
    <definedName name="FILE2">#REF!</definedName>
    <definedName name="FILE3" localSheetId="14">#REF!</definedName>
    <definedName name="FILE3">#REF!</definedName>
    <definedName name="FILE4" localSheetId="14">#REF!</definedName>
    <definedName name="FILE4">#REF!</definedName>
    <definedName name="FILE5" localSheetId="14">#REF!</definedName>
    <definedName name="FILE5">#REF!</definedName>
    <definedName name="FILE6" localSheetId="14">#REF!</definedName>
    <definedName name="FILE6">#REF!</definedName>
    <definedName name="FILE7" localSheetId="14">#REF!</definedName>
    <definedName name="FILE7">#REF!</definedName>
    <definedName name="FILE8" localSheetId="14">#REF!</definedName>
    <definedName name="FILE8">#REF!</definedName>
    <definedName name="FILENAME" localSheetId="14">#REF!</definedName>
    <definedName name="FILENAME">#REF!</definedName>
    <definedName name="FILES" localSheetId="14">#REF!</definedName>
    <definedName name="FILES">#REF!</definedName>
    <definedName name="FILESET_UP" localSheetId="14">#REF!</definedName>
    <definedName name="FILESET_UP">#REF!</definedName>
    <definedName name="FILTRO_DES">#REF!</definedName>
    <definedName name="FIN" localSheetId="14">#REF!</definedName>
    <definedName name="FIN">#REF!</definedName>
    <definedName name="FORMAT" localSheetId="14">#REF!</definedName>
    <definedName name="FORMAT">#REF!</definedName>
    <definedName name="FRAME" localSheetId="14">#REF!</definedName>
    <definedName name="FRAME">#REF!</definedName>
    <definedName name="FREEZE" localSheetId="14">#REF!</definedName>
    <definedName name="FREEZE">#REF!</definedName>
    <definedName name="GHH">#REF!</definedName>
    <definedName name="GINC" localSheetId="14">#REF!</definedName>
    <definedName name="GINC">#REF!</definedName>
    <definedName name="GINCL" localSheetId="14">#REF!</definedName>
    <definedName name="GINCL">#REF!</definedName>
    <definedName name="GWH" localSheetId="14">#REF!</definedName>
    <definedName name="GWH">#REF!</definedName>
    <definedName name="HISTORY" localSheetId="14">#REF!</definedName>
    <definedName name="HISTORY">#REF!</definedName>
    <definedName name="HOJAT" localSheetId="14">#REF!</definedName>
    <definedName name="HOJAT">#REF!</definedName>
    <definedName name="i" localSheetId="14">#REF!</definedName>
    <definedName name="i">#REF!</definedName>
    <definedName name="IMP">#REF!</definedName>
    <definedName name="IMPANO0" localSheetId="14">#REF!</definedName>
    <definedName name="IMPANO0">#REF!</definedName>
    <definedName name="INCOME_ST" localSheetId="14">#REF!</definedName>
    <definedName name="INCOME_ST">#REF!</definedName>
    <definedName name="INDSAVE" localSheetId="14">#REF!</definedName>
    <definedName name="INDSAVE">#REF!</definedName>
    <definedName name="INGLES" localSheetId="14">#REF!</definedName>
    <definedName name="INGLES">#REF!</definedName>
    <definedName name="INGyADM">#REF!</definedName>
    <definedName name="INICIO" localSheetId="14">#REF!</definedName>
    <definedName name="INICIO">#REF!</definedName>
    <definedName name="INSTRUCCONSOL" localSheetId="14">#REF!</definedName>
    <definedName name="INSTRUCCONSOL">#REF!</definedName>
    <definedName name="INTRACORPa" hidden="1">'[2]2001-2008Contraloría Historico'!#REF!</definedName>
    <definedName name="ITER" localSheetId="14">#REF!</definedName>
    <definedName name="ITER">#REF!</definedName>
    <definedName name="J1_" localSheetId="11">#REF!</definedName>
    <definedName name="J1_">#REF!</definedName>
    <definedName name="J2_" localSheetId="11">#REF!</definedName>
    <definedName name="J2_">#REF!</definedName>
    <definedName name="J3_" localSheetId="11">#REF!</definedName>
    <definedName name="J3_">#REF!</definedName>
    <definedName name="J4_" localSheetId="11">#REF!</definedName>
    <definedName name="J4_">#REF!</definedName>
    <definedName name="J5_">#N/A</definedName>
    <definedName name="J6_">#N/A</definedName>
    <definedName name="J7_" localSheetId="13">#REF!</definedName>
    <definedName name="J7_" localSheetId="11">#REF!</definedName>
    <definedName name="J7_">#REF!</definedName>
    <definedName name="J8_" localSheetId="11">#REF!</definedName>
    <definedName name="J8_">#REF!</definedName>
    <definedName name="JI" localSheetId="11">#REF!</definedName>
    <definedName name="JI">#REF!</definedName>
    <definedName name="JKL" localSheetId="14">#REF!</definedName>
    <definedName name="JKL">#REF!</definedName>
    <definedName name="KKK">#REF!</definedName>
    <definedName name="LANGUAGE" localSheetId="14">#REF!</definedName>
    <definedName name="LANGUAGE">#REF!</definedName>
    <definedName name="LASER" localSheetId="14">#REF!</definedName>
    <definedName name="LASER">#REF!</definedName>
    <definedName name="LAST_YEAR" localSheetId="14">#REF!</definedName>
    <definedName name="LAST_YEAR">#REF!</definedName>
    <definedName name="LEARN" localSheetId="14">#REF!</definedName>
    <definedName name="LEARN">#REF!</definedName>
    <definedName name="LINE_" localSheetId="14">#REF!</definedName>
    <definedName name="LINE_">#REF!</definedName>
    <definedName name="LINES_ML" localSheetId="14">#REF!</definedName>
    <definedName name="LINES_ML">#REF!</definedName>
    <definedName name="LOGO" localSheetId="14">#REF!</definedName>
    <definedName name="LOGO">#REF!</definedName>
    <definedName name="M1_" localSheetId="11">#REF!</definedName>
    <definedName name="M1_">#REF!</definedName>
    <definedName name="M2_" localSheetId="11">#REF!</definedName>
    <definedName name="M2_">#REF!</definedName>
    <definedName name="M3_" localSheetId="11">#REF!</definedName>
    <definedName name="M3_">#REF!</definedName>
    <definedName name="M4_" localSheetId="11">#REF!</definedName>
    <definedName name="M4_">#REF!</definedName>
    <definedName name="M5_">#N/A</definedName>
    <definedName name="M6_">#N/A</definedName>
    <definedName name="M7_" localSheetId="13">#REF!</definedName>
    <definedName name="M7_" localSheetId="11">#REF!</definedName>
    <definedName name="M7_">#REF!</definedName>
    <definedName name="M8_" localSheetId="11">#REF!</definedName>
    <definedName name="M8_">#REF!</definedName>
    <definedName name="MAIN" localSheetId="14">#REF!</definedName>
    <definedName name="MAIN">#REF!</definedName>
    <definedName name="MENSAJ" localSheetId="14">#REF!</definedName>
    <definedName name="MENSAJ">#REF!</definedName>
    <definedName name="MENSAJ1" localSheetId="14">#REF!</definedName>
    <definedName name="MENSAJ1">#REF!</definedName>
    <definedName name="MENSAJE" localSheetId="14">#REF!</definedName>
    <definedName name="MENSAJE">#REF!</definedName>
    <definedName name="MENSAJE1" localSheetId="14">#REF!</definedName>
    <definedName name="MENSAJE1">#REF!</definedName>
    <definedName name="MESES" localSheetId="14">#REF!</definedName>
    <definedName name="MESES">#REF!</definedName>
    <definedName name="MESESL" localSheetId="14">#REF!</definedName>
    <definedName name="MESESL">#REF!</definedName>
    <definedName name="MIL" localSheetId="14">#REF!</definedName>
    <definedName name="MIL">#REF!</definedName>
    <definedName name="MILLON" localSheetId="14">#REF!</definedName>
    <definedName name="MILLON">#REF!</definedName>
    <definedName name="MODINFO" localSheetId="14">#REF!</definedName>
    <definedName name="MODINFO">#REF!</definedName>
    <definedName name="MODULES" localSheetId="14">#REF!</definedName>
    <definedName name="MODULES">#REF!</definedName>
    <definedName name="MSGCALC" localSheetId="14">#REF!</definedName>
    <definedName name="MSGCALC">#REF!</definedName>
    <definedName name="MSGDEBT" localSheetId="14">#REF!</definedName>
    <definedName name="MSGDEBT">#REF!</definedName>
    <definedName name="MSGFILES" localSheetId="14">#REF!</definedName>
    <definedName name="MSGFILES">#REF!</definedName>
    <definedName name="MSGINVEST" localSheetId="14">#REF!</definedName>
    <definedName name="MSGINVEST">#REF!</definedName>
    <definedName name="MSGNAMES" localSheetId="14">#REF!</definedName>
    <definedName name="MSGNAMES">#REF!</definedName>
    <definedName name="MSGPRINTG" localSheetId="14">#REF!</definedName>
    <definedName name="MSGPRINTG">#REF!</definedName>
    <definedName name="MSGTRANSFER" localSheetId="14">#REF!</definedName>
    <definedName name="MSGTRANSFER">#REF!</definedName>
    <definedName name="MWH" localSheetId="14">#REF!</definedName>
    <definedName name="MWH">#REF!</definedName>
    <definedName name="NAME" localSheetId="14">#REF!</definedName>
    <definedName name="NAME">#REF!</definedName>
    <definedName name="NAMES" localSheetId="14">#REF!</definedName>
    <definedName name="NAMES">#REF!</definedName>
    <definedName name="NOPRO" localSheetId="14">#REF!</definedName>
    <definedName name="NOPRO">#REF!</definedName>
    <definedName name="OA_CY" localSheetId="14">#REF!</definedName>
    <definedName name="OA_CY">#REF!</definedName>
    <definedName name="OAP" localSheetId="14">#REF!</definedName>
    <definedName name="OAP">#REF!</definedName>
    <definedName name="OAP_LAST" localSheetId="14">#REF!</definedName>
    <definedName name="OAP_LAST">#REF!</definedName>
    <definedName name="OAP0" localSheetId="14">#REF!</definedName>
    <definedName name="OAP0">#REF!</definedName>
    <definedName name="OAPACTUAL" localSheetId="14">#REF!</definedName>
    <definedName name="OAPACTUAL">#REF!</definedName>
    <definedName name="OAPC" localSheetId="14">#REF!</definedName>
    <definedName name="OAPC">#REF!</definedName>
    <definedName name="OAPDATA" localSheetId="14">#REF!</definedName>
    <definedName name="OAPDATA">#REF!</definedName>
    <definedName name="OAPTITLES" localSheetId="14">#REF!</definedName>
    <definedName name="OAPTITLES">#REF!</definedName>
    <definedName name="OAPUNO" localSheetId="14">#REF!</definedName>
    <definedName name="OAPUNO">#REF!</definedName>
    <definedName name="OATITLE" localSheetId="14">#REF!</definedName>
    <definedName name="OATITLE">#REF!</definedName>
    <definedName name="OAUNIT" localSheetId="14">#REF!</definedName>
    <definedName name="OAUNIT">#REF!</definedName>
    <definedName name="OPCFLAG" localSheetId="14">#REF!</definedName>
    <definedName name="OPCFLAG">#REF!</definedName>
    <definedName name="OPCION" localSheetId="14">#REF!</definedName>
    <definedName name="OPCION">#REF!</definedName>
    <definedName name="OPSELC" localSheetId="14">#REF!</definedName>
    <definedName name="OPSELC">#REF!</definedName>
    <definedName name="OUTPUT" localSheetId="14">#REF!</definedName>
    <definedName name="OUTPUT">#REF!</definedName>
    <definedName name="OUTPUTDE" localSheetId="14">#REF!</definedName>
    <definedName name="OUTPUTDE">#REF!</definedName>
    <definedName name="OUTPUTE" localSheetId="14">#REF!</definedName>
    <definedName name="OUTPUTE">#REF!</definedName>
    <definedName name="OUTPUTE_HEADER" localSheetId="14">#REF!</definedName>
    <definedName name="OUTPUTE_HEADER">#REF!</definedName>
    <definedName name="OUTPUTEBODY" localSheetId="14">#REF!</definedName>
    <definedName name="OUTPUTEBODY">#REF!</definedName>
    <definedName name="OUTPUTECOL" localSheetId="14">#REF!</definedName>
    <definedName name="OUTPUTECOL">#REF!</definedName>
    <definedName name="OUTPUTEHEAD" localSheetId="14">#REF!</definedName>
    <definedName name="OUTPUTEHEAD">#REF!</definedName>
    <definedName name="OUTPUTNOS" localSheetId="14">#REF!</definedName>
    <definedName name="OUTPUTNOS">#REF!</definedName>
    <definedName name="OUTPUTPR" localSheetId="14">#REF!</definedName>
    <definedName name="OUTPUTPR">#REF!</definedName>
    <definedName name="OUTPUTWS" localSheetId="14">#REF!</definedName>
    <definedName name="OUTPUTWS">#REF!</definedName>
    <definedName name="PANTALLA" localSheetId="14">#REF!</definedName>
    <definedName name="PANTALLA">#REF!</definedName>
    <definedName name="PAPEL" localSheetId="14">#REF!</definedName>
    <definedName name="PAPEL">#REF!</definedName>
    <definedName name="PFLAG" localSheetId="14">#REF!</definedName>
    <definedName name="PFLAG">#REF!</definedName>
    <definedName name="PGIC" localSheetId="14">#REF!</definedName>
    <definedName name="PGIC">#REF!</definedName>
    <definedName name="PIBnuevo15" hidden="1">'[4]2001-2012 Contraloría Historico'!#REF!</definedName>
    <definedName name="PREST" localSheetId="14">#REF!</definedName>
    <definedName name="PREST">#REF!</definedName>
    <definedName name="PRESTAMO" localSheetId="14">#REF!</definedName>
    <definedName name="PRESTAMO">#REF!</definedName>
    <definedName name="PRESTTOT" localSheetId="14">#REF!</definedName>
    <definedName name="PRESTTOT">#REF!</definedName>
    <definedName name="PRINTER" localSheetId="14">#REF!</definedName>
    <definedName name="PRINTER">#REF!</definedName>
    <definedName name="PRO" localSheetId="11">#REF!</definedName>
    <definedName name="PRO">#REF!</definedName>
    <definedName name="PRODUC2" localSheetId="14">#REF!</definedName>
    <definedName name="PRODUC2">#REF!</definedName>
    <definedName name="PRODUC3" localSheetId="14">#REF!</definedName>
    <definedName name="PRODUC3">#REF!</definedName>
    <definedName name="PRODUC4" localSheetId="14">#REF!</definedName>
    <definedName name="PRODUC4">#REF!</definedName>
    <definedName name="PTOEF" localSheetId="14">#REF!</definedName>
    <definedName name="PTOEF">#REF!</definedName>
    <definedName name="PTOER" localSheetId="14">#REF!</definedName>
    <definedName name="PTOER">#REF!</definedName>
    <definedName name="RANGES" localSheetId="14">#REF!</definedName>
    <definedName name="RANGES">#REF!</definedName>
    <definedName name="RATIOS" localSheetId="14">#REF!</definedName>
    <definedName name="RATIOS">#REF!</definedName>
    <definedName name="RCC" localSheetId="14">#REF!</definedName>
    <definedName name="RCC">#REF!</definedName>
    <definedName name="RCCOBR" localSheetId="14">#REF!</definedName>
    <definedName name="RCCOBR">#REF!</definedName>
    <definedName name="rd" localSheetId="14">#REF!</definedName>
    <definedName name="rd">#REF!</definedName>
    <definedName name="rdn" localSheetId="12">[7]Hidrometeorología!$D$14</definedName>
    <definedName name="rdn" localSheetId="14">[7]Hidrometeorología!$D$14</definedName>
    <definedName name="rdn">[8]Hidrometeorología!$D$14</definedName>
    <definedName name="rdx" localSheetId="12">[7]Hidrometeorología!$D$14</definedName>
    <definedName name="rdx" localSheetId="14">[7]Hidrometeorología!$D$14</definedName>
    <definedName name="rdx">[8]Hidrometeorología!$D$14</definedName>
    <definedName name="re" localSheetId="13">#REF!</definedName>
    <definedName name="re" localSheetId="12">#REF!</definedName>
    <definedName name="re" localSheetId="14">#REF!</definedName>
    <definedName name="re">#REF!</definedName>
    <definedName name="real">#REF!</definedName>
    <definedName name="RENTA" localSheetId="12">#REF!</definedName>
    <definedName name="RENTA" localSheetId="14">#REF!</definedName>
    <definedName name="RENTA">#REF!</definedName>
    <definedName name="RENTAL" localSheetId="12">#REF!</definedName>
    <definedName name="RENTAL" localSheetId="14">#REF!</definedName>
    <definedName name="RENTAL">#REF!</definedName>
    <definedName name="REPO" localSheetId="14">#REF!</definedName>
    <definedName name="REPO">#REF!</definedName>
    <definedName name="REPOCALC" localSheetId="14">#REF!</definedName>
    <definedName name="REPOCALC">#REF!</definedName>
    <definedName name="REPOPRO" localSheetId="14">#REF!</definedName>
    <definedName name="REPOPRO">#REF!</definedName>
    <definedName name="REPSUB" localSheetId="14">#REF!</definedName>
    <definedName name="REPSUB">#REF!</definedName>
    <definedName name="REPSUBWYS" localSheetId="14">#REF!</definedName>
    <definedName name="REPSUBWYS">#REF!</definedName>
    <definedName name="RESUMEN" localSheetId="14">#REF!</definedName>
    <definedName name="RESUMEN">#REF!</definedName>
    <definedName name="rf" localSheetId="14">#REF!</definedName>
    <definedName name="rf">#REF!</definedName>
    <definedName name="RF_CY" localSheetId="14">#REF!</definedName>
    <definedName name="RF_CY">#REF!</definedName>
    <definedName name="RFP" localSheetId="14">#REF!</definedName>
    <definedName name="RFP">#REF!</definedName>
    <definedName name="RFPACTUAL" localSheetId="14">#REF!</definedName>
    <definedName name="RFPACTUAL">#REF!</definedName>
    <definedName name="RFPC" localSheetId="14">#REF!</definedName>
    <definedName name="RFPC">#REF!</definedName>
    <definedName name="RFPDATA" localSheetId="14">#REF!</definedName>
    <definedName name="RFPDATA">#REF!</definedName>
    <definedName name="RFPTITLES" localSheetId="14">#REF!</definedName>
    <definedName name="RFPTITLES">#REF!</definedName>
    <definedName name="RFTITLE" localSheetId="14">#REF!</definedName>
    <definedName name="RFTITLE">#REF!</definedName>
    <definedName name="RFUNIT" localSheetId="14">#REF!</definedName>
    <definedName name="RFUNIT">#REF!</definedName>
    <definedName name="rm_rf" localSheetId="14">#REF!</definedName>
    <definedName name="rm_rf">#REF!</definedName>
    <definedName name="rp" localSheetId="14">#REF!</definedName>
    <definedName name="rp">#REF!</definedName>
    <definedName name="RPTSFOOTER" localSheetId="14">#REF!</definedName>
    <definedName name="RPTSFOOTER">#REF!</definedName>
    <definedName name="RPTSHEADER" localSheetId="14">#REF!</definedName>
    <definedName name="RPTSHEADER">#REF!</definedName>
    <definedName name="rrd" localSheetId="12">[9]RRT!$D$14</definedName>
    <definedName name="rrd" localSheetId="14">[9]RRT!$D$14</definedName>
    <definedName name="rrd">[10]RRT!$D$14</definedName>
    <definedName name="RRT" localSheetId="13">#REF!</definedName>
    <definedName name="RRT" localSheetId="12">#REF!</definedName>
    <definedName name="RRT" localSheetId="14">#REF!</definedName>
    <definedName name="RRT" localSheetId="5">'IMP Existente '!$D$10</definedName>
    <definedName name="RRT">#REF!</definedName>
    <definedName name="RRTg">[11]IPCT!$C$14</definedName>
    <definedName name="S1_" localSheetId="13">#REF!</definedName>
    <definedName name="S1_" localSheetId="11">#REF!</definedName>
    <definedName name="S1_">#REF!</definedName>
    <definedName name="S2_" localSheetId="11">#REF!</definedName>
    <definedName name="S2_">#REF!</definedName>
    <definedName name="S3_" localSheetId="11">#REF!</definedName>
    <definedName name="S3_">#REF!</definedName>
    <definedName name="S4_" localSheetId="11">#REF!</definedName>
    <definedName name="S4_">#REF!</definedName>
    <definedName name="S5_">#N/A</definedName>
    <definedName name="S6_">#N/A</definedName>
    <definedName name="S7_" localSheetId="13">#REF!</definedName>
    <definedName name="S7_" localSheetId="11">#REF!</definedName>
    <definedName name="S7_">#REF!</definedName>
    <definedName name="S8_" localSheetId="11">#REF!</definedName>
    <definedName name="S8_">#REF!</definedName>
    <definedName name="SCREEN" localSheetId="12">#REF!</definedName>
    <definedName name="SCREEN" localSheetId="14">#REF!</definedName>
    <definedName name="SCREEN">#REF!</definedName>
    <definedName name="Sd" localSheetId="12">#REF!</definedName>
    <definedName name="Sd" localSheetId="14">#REF!</definedName>
    <definedName name="Sd">#REF!</definedName>
    <definedName name="SE0" localSheetId="12">#REF!</definedName>
    <definedName name="SE0" localSheetId="14">#REF!</definedName>
    <definedName name="SE0">#REF!</definedName>
    <definedName name="SENOP" localSheetId="14">#REF!</definedName>
    <definedName name="SENOP">#REF!</definedName>
    <definedName name="SENPRI" localSheetId="14">#REF!</definedName>
    <definedName name="SENPRI">#REF!</definedName>
    <definedName name="SENSITIVITY" localSheetId="14">#REF!</definedName>
    <definedName name="SENSITIVITY">#REF!</definedName>
    <definedName name="SENSTA" localSheetId="14">#REF!</definedName>
    <definedName name="SENSTA">#REF!</definedName>
    <definedName name="SENT" localSheetId="14">#REF!</definedName>
    <definedName name="SENT">#REF!</definedName>
    <definedName name="SENUNI" localSheetId="14">#REF!</definedName>
    <definedName name="SENUNI">#REF!</definedName>
    <definedName name="SER" localSheetId="14">#REF!</definedName>
    <definedName name="SER">#REF!</definedName>
    <definedName name="SOURCE_APPL" localSheetId="14">#REF!</definedName>
    <definedName name="SOURCE_APPL">#REF!</definedName>
    <definedName name="ss">#REF!</definedName>
    <definedName name="STAMP" localSheetId="14">#REF!</definedName>
    <definedName name="STAMP">#REF!</definedName>
    <definedName name="START" localSheetId="14">#REF!</definedName>
    <definedName name="START">#REF!</definedName>
    <definedName name="SUMARIA" localSheetId="14">#REF!</definedName>
    <definedName name="SUMARIA">#REF!</definedName>
    <definedName name="SUPUESTOS" localSheetId="14">#REF!</definedName>
    <definedName name="SUPUESTOS">#REF!</definedName>
    <definedName name="t" localSheetId="14">#REF!</definedName>
    <definedName name="t">#REF!</definedName>
    <definedName name="TASA" localSheetId="14">#REF!</definedName>
    <definedName name="TASA">#REF!</definedName>
    <definedName name="TASAI" localSheetId="14">#REF!</definedName>
    <definedName name="TASAI">#REF!</definedName>
    <definedName name="TASATOT" localSheetId="14">#REF!</definedName>
    <definedName name="TASATOT">#REF!</definedName>
    <definedName name="TC">#REF!</definedName>
    <definedName name="TEXTO" localSheetId="11">#REF!</definedName>
    <definedName name="TEXTO">#REF!</definedName>
    <definedName name="TIPO" localSheetId="14">#REF!</definedName>
    <definedName name="TIPO">#REF!</definedName>
    <definedName name="TITLE" localSheetId="14">#REF!</definedName>
    <definedName name="TITLE">#REF!</definedName>
    <definedName name="TITLEENG" localSheetId="14">#REF!</definedName>
    <definedName name="TITLEENG">#REF!</definedName>
    <definedName name="TITLES" localSheetId="14">#REF!</definedName>
    <definedName name="TITLES">#REF!</definedName>
    <definedName name="TITLESPAN" localSheetId="14">#REF!</definedName>
    <definedName name="TITLESPAN">#REF!</definedName>
    <definedName name="TODO" localSheetId="11">#REF!</definedName>
    <definedName name="TODO">#REF!</definedName>
    <definedName name="TRAF" localSheetId="14">#REF!</definedName>
    <definedName name="TRAF">#REF!</definedName>
    <definedName name="tret" hidden="1">'[2]2001-2008Contraloría Historico'!#REF!</definedName>
    <definedName name="TSFR1" localSheetId="14">#REF!</definedName>
    <definedName name="TSFR1">#REF!</definedName>
    <definedName name="TSFR2" localSheetId="14">#REF!</definedName>
    <definedName name="TSFR2">#REF!</definedName>
    <definedName name="TSFR3" localSheetId="14">#REF!</definedName>
    <definedName name="TSFR3">#REF!</definedName>
    <definedName name="UNDERLINE" localSheetId="14">#REF!</definedName>
    <definedName name="UNDERLINE">#REF!</definedName>
    <definedName name="UNFREEZE" localSheetId="14">#REF!</definedName>
    <definedName name="UNFREEZE">#REF!</definedName>
    <definedName name="UNITS" localSheetId="14">#REF!</definedName>
    <definedName name="UNITS">#REF!</definedName>
    <definedName name="UUCC">#REF!</definedName>
    <definedName name="VNR_Lineas" localSheetId="13">'[5]VNR Lin '!$I$64</definedName>
    <definedName name="VNR_Lineas">'[5]VNR Lin '!$I$64</definedName>
    <definedName name="VNR_Lineas_Conexión" localSheetId="13">'[5]VNR Lin '!$I$74</definedName>
    <definedName name="VNR_Lineas_Conexión">'[5]VNR Lin '!$I$74</definedName>
    <definedName name="VNR_Subestaciones_Conexión" localSheetId="13">'[5] VNR Sub'!$H$45</definedName>
    <definedName name="VNR_Subestaciones_Conexión">'[5] VNR Sub'!$H$45</definedName>
    <definedName name="VNR_Subestaciones_Estrategicas" localSheetId="13">'[5] VNR Sub'!$G$33</definedName>
    <definedName name="VNR_Subestaciones_Estrategicas">'[5] VNR Sub'!$G$33</definedName>
    <definedName name="VNR_Subestaciones_SPT" localSheetId="13">'[5] VNR Sub'!$G$24</definedName>
    <definedName name="VNR_Subestaciones_SPT">'[5] VNR Sub'!$G$24</definedName>
    <definedName name="vvvv" localSheetId="3">[12]IMP!$D$14</definedName>
    <definedName name="vvvv" localSheetId="2">[12]IMP!$D$14</definedName>
    <definedName name="vvvv" localSheetId="1">[12]IMP!$D$14</definedName>
    <definedName name="vvvv" localSheetId="0">[12]IMP!$D$14</definedName>
    <definedName name="vvvv">[13]IMP!$D$14</definedName>
    <definedName name="WACCna" localSheetId="13">#REF!</definedName>
    <definedName name="WACCna" localSheetId="12">#REF!</definedName>
    <definedName name="WACCna" localSheetId="14">#REF!</definedName>
    <definedName name="WACCna">#REF!</definedName>
    <definedName name="WACCnd" localSheetId="12">#REF!</definedName>
    <definedName name="WACCnd" localSheetId="14">#REF!</definedName>
    <definedName name="WACCnd">#REF!</definedName>
    <definedName name="WACCr" localSheetId="12">#REF!</definedName>
    <definedName name="WACCr" localSheetId="14">#REF!</definedName>
    <definedName name="WACCr">#REF!</definedName>
    <definedName name="WACCra" localSheetId="14">#REF!</definedName>
    <definedName name="WACCra">#REF!</definedName>
    <definedName name="WH" localSheetId="14">#REF!</definedName>
    <definedName name="WH">#REF!</definedName>
    <definedName name="WHC" localSheetId="14">#REF!</definedName>
    <definedName name="WHC">#REF!</definedName>
    <definedName name="WHCO" localSheetId="14">#REF!</definedName>
    <definedName name="WHCO">#REF!</definedName>
    <definedName name="WHCR" localSheetId="14">#REF!</definedName>
    <definedName name="WHCR">#REF!</definedName>
    <definedName name="WHCS" localSheetId="14">#REF!</definedName>
    <definedName name="WHCS">#REF!</definedName>
    <definedName name="WHG" localSheetId="14">#REF!</definedName>
    <definedName name="WHG">#REF!</definedName>
    <definedName name="WHH" localSheetId="14">#REF!</definedName>
    <definedName name="WHH">#REF!</definedName>
    <definedName name="WORKSHEET" localSheetId="14">#REF!</definedName>
    <definedName name="WORKSHEET">#REF!</definedName>
    <definedName name="WP" localSheetId="14">#REF!</definedName>
    <definedName name="WP">#REF!</definedName>
    <definedName name="WPC" localSheetId="14">#REF!</definedName>
    <definedName name="WPC">#REF!</definedName>
    <definedName name="WPG" localSheetId="14">#REF!</definedName>
    <definedName name="WPG">#REF!</definedName>
    <definedName name="WPH" localSheetId="14">#REF!</definedName>
    <definedName name="WPH">#REF!</definedName>
    <definedName name="WSANO0PR" localSheetId="14">#REF!</definedName>
    <definedName name="WSANO0PR">#REF!</definedName>
    <definedName name="WSANO0S" localSheetId="14">#REF!</definedName>
    <definedName name="WSANO0S">#REF!</definedName>
    <definedName name="WSGRID" localSheetId="14">#REF!</definedName>
    <definedName name="WSGRID">#REF!</definedName>
    <definedName name="WSGRID0" localSheetId="14">#REF!</definedName>
    <definedName name="WSGRID0">#REF!</definedName>
    <definedName name="WSGRID10" localSheetId="14">#REF!</definedName>
    <definedName name="WSGRID10">#REF!</definedName>
    <definedName name="WSPRINT" localSheetId="14">#REF!</definedName>
    <definedName name="WSPRINT">#REF!</definedName>
    <definedName name="XX">[14]IMP!$D$10</definedName>
    <definedName name="xxx">[7]Hidrometeorología!$D$14</definedName>
    <definedName name="XXXX">[7]Hidrometeorología!$D$14</definedName>
    <definedName name="xxxxxx" hidden="1">#REF!</definedName>
    <definedName name="xxxxxxxxxxxxxxxxxxxx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6" i="67" l="1"/>
  <c r="D183" i="67"/>
  <c r="E183" i="67"/>
  <c r="F183" i="67"/>
  <c r="D176" i="67"/>
  <c r="E176" i="67"/>
  <c r="F176" i="67"/>
  <c r="D170" i="67"/>
  <c r="E170" i="67"/>
  <c r="F170" i="67"/>
  <c r="D149" i="67"/>
  <c r="E149" i="67"/>
  <c r="F149" i="67"/>
  <c r="D101" i="67"/>
  <c r="E101" i="67"/>
  <c r="F101" i="67"/>
  <c r="C101" i="67"/>
  <c r="D43" i="67"/>
  <c r="E43" i="67"/>
  <c r="F43" i="67"/>
  <c r="C43" i="67"/>
  <c r="D31" i="67"/>
  <c r="E31" i="67"/>
  <c r="F31" i="67"/>
  <c r="C31" i="67"/>
  <c r="D24" i="67"/>
  <c r="E24" i="67"/>
  <c r="F24" i="67"/>
  <c r="D5" i="67"/>
  <c r="E5" i="67"/>
  <c r="F5" i="67"/>
  <c r="C5" i="67"/>
  <c r="D75" i="61"/>
  <c r="D74" i="61"/>
  <c r="D72" i="61"/>
  <c r="D73" i="61"/>
  <c r="D80" i="61"/>
  <c r="D81" i="61"/>
  <c r="H85" i="61" l="1"/>
  <c r="G85" i="61"/>
  <c r="F85" i="61"/>
  <c r="E85" i="61"/>
  <c r="E24" i="38"/>
  <c r="E18" i="38"/>
  <c r="E12" i="38"/>
  <c r="E6" i="38"/>
  <c r="M11" i="38" l="1"/>
  <c r="L11" i="38"/>
  <c r="J11" i="38"/>
  <c r="J17" i="38"/>
  <c r="J23" i="38"/>
  <c r="C170" i="67"/>
  <c r="J5" i="38" s="1"/>
  <c r="I11" i="38"/>
  <c r="I17" i="38"/>
  <c r="I23" i="38"/>
  <c r="C149" i="67"/>
  <c r="I5" i="38" s="1"/>
  <c r="H11" i="38"/>
  <c r="H17" i="38"/>
  <c r="H23" i="38"/>
  <c r="H5" i="38"/>
  <c r="G11" i="38"/>
  <c r="G17" i="38"/>
  <c r="G23" i="38"/>
  <c r="G5" i="38"/>
  <c r="E11" i="38"/>
  <c r="E17" i="38"/>
  <c r="E23" i="38"/>
  <c r="D11" i="38"/>
  <c r="D23" i="38"/>
  <c r="C24" i="67"/>
  <c r="E5" i="38" s="1"/>
  <c r="C183" i="67"/>
  <c r="M5" i="38" s="1"/>
  <c r="C176" i="67"/>
  <c r="L5" i="38" s="1"/>
  <c r="F174" i="67"/>
  <c r="K23" i="38" s="1"/>
  <c r="E174" i="67"/>
  <c r="K17" i="38" s="1"/>
  <c r="D174" i="67"/>
  <c r="K11" i="38" s="1"/>
  <c r="C174" i="67"/>
  <c r="K5" i="38" s="1"/>
  <c r="F23" i="38"/>
  <c r="F17" i="38"/>
  <c r="F11" i="38"/>
  <c r="F5" i="38"/>
  <c r="D5" i="38"/>
  <c r="M17" i="38" l="1"/>
  <c r="M23" i="38"/>
  <c r="E186" i="67"/>
  <c r="D17" i="38"/>
  <c r="L17" i="38"/>
  <c r="L23" i="38"/>
  <c r="D186" i="67"/>
  <c r="F186" i="67"/>
  <c r="P73" i="67" l="1"/>
  <c r="M24" i="38" s="1"/>
  <c r="O73" i="67"/>
  <c r="M18" i="38" s="1"/>
  <c r="N73" i="67"/>
  <c r="M12" i="38" s="1"/>
  <c r="M73" i="67"/>
  <c r="M6" i="38" s="1"/>
  <c r="P65" i="67"/>
  <c r="L24" i="38" s="1"/>
  <c r="O65" i="67"/>
  <c r="L18" i="38" s="1"/>
  <c r="N65" i="67"/>
  <c r="L12" i="38" s="1"/>
  <c r="M65" i="67"/>
  <c r="L6" i="38" s="1"/>
  <c r="P61" i="67"/>
  <c r="K24" i="38" s="1"/>
  <c r="O61" i="67"/>
  <c r="K18" i="38" s="1"/>
  <c r="N61" i="67"/>
  <c r="K12" i="38" s="1"/>
  <c r="M61" i="67"/>
  <c r="K6" i="38" s="1"/>
  <c r="P41" i="67"/>
  <c r="J24" i="38" s="1"/>
  <c r="O41" i="67"/>
  <c r="J18" i="38" s="1"/>
  <c r="N41" i="67"/>
  <c r="J12" i="38" s="1"/>
  <c r="M41" i="67"/>
  <c r="J6" i="38" s="1"/>
  <c r="P33" i="67"/>
  <c r="I24" i="38" s="1"/>
  <c r="O33" i="67"/>
  <c r="I18" i="38" s="1"/>
  <c r="N33" i="67"/>
  <c r="I12" i="38" s="1"/>
  <c r="M33" i="67"/>
  <c r="I6" i="38" s="1"/>
  <c r="P23" i="67"/>
  <c r="H24" i="38" s="1"/>
  <c r="O23" i="67"/>
  <c r="H18" i="38" s="1"/>
  <c r="N23" i="67"/>
  <c r="H12" i="38" s="1"/>
  <c r="M23" i="67"/>
  <c r="H6" i="38" s="1"/>
  <c r="P18" i="67"/>
  <c r="G24" i="38" s="1"/>
  <c r="O18" i="67"/>
  <c r="G18" i="38" s="1"/>
  <c r="N18" i="67"/>
  <c r="G12" i="38" s="1"/>
  <c r="M18" i="67"/>
  <c r="G6" i="38" s="1"/>
  <c r="P14" i="67"/>
  <c r="F24" i="38" s="1"/>
  <c r="O14" i="67"/>
  <c r="F18" i="38" s="1"/>
  <c r="N14" i="67"/>
  <c r="F12" i="38" s="1"/>
  <c r="M14" i="67"/>
  <c r="F6" i="38" s="1"/>
  <c r="P7" i="67"/>
  <c r="D24" i="38" s="1"/>
  <c r="O7" i="67"/>
  <c r="D18" i="38" s="1"/>
  <c r="N7" i="67"/>
  <c r="D12" i="38" s="1"/>
  <c r="M7" i="67"/>
  <c r="D6" i="38" s="1"/>
  <c r="P78" i="67" l="1"/>
  <c r="M78" i="67"/>
  <c r="O78" i="67"/>
  <c r="N78" i="67"/>
  <c r="H87" i="61"/>
  <c r="G87" i="61"/>
  <c r="F87" i="61"/>
  <c r="E87" i="61"/>
  <c r="G10" i="14"/>
  <c r="F10" i="14"/>
  <c r="E10" i="14"/>
  <c r="D10" i="14"/>
  <c r="H77" i="61"/>
  <c r="H84" i="61" s="1"/>
  <c r="G77" i="61"/>
  <c r="G84" i="61" s="1"/>
  <c r="F77" i="61"/>
  <c r="F84" i="61" s="1"/>
  <c r="E77" i="61"/>
  <c r="E84" i="61" s="1"/>
  <c r="I69" i="61"/>
  <c r="H69" i="61"/>
  <c r="G69" i="61"/>
  <c r="F69" i="61"/>
  <c r="E69" i="61"/>
  <c r="E41" i="61"/>
  <c r="D26" i="61"/>
  <c r="E18" i="61"/>
  <c r="D18" i="61"/>
  <c r="I17" i="61"/>
  <c r="D14" i="61"/>
  <c r="D10" i="61"/>
  <c r="E8" i="61"/>
  <c r="H8" i="61" s="1"/>
  <c r="E7" i="61"/>
  <c r="H7" i="61" s="1"/>
  <c r="E6" i="61"/>
  <c r="E58" i="61" s="1"/>
  <c r="I8" i="61" l="1"/>
  <c r="E93" i="61"/>
  <c r="I7" i="61"/>
  <c r="E26" i="61"/>
  <c r="E67" i="61"/>
  <c r="F8" i="61"/>
  <c r="G8" i="61"/>
  <c r="F6" i="61"/>
  <c r="F7" i="61"/>
  <c r="E33" i="61"/>
  <c r="G7" i="61"/>
  <c r="E49" i="61"/>
  <c r="E65" i="61" l="1"/>
  <c r="F93" i="61"/>
  <c r="E39" i="61"/>
  <c r="H65" i="61"/>
  <c r="H39" i="61"/>
  <c r="H56" i="61"/>
  <c r="I65" i="61"/>
  <c r="G65" i="61"/>
  <c r="F65" i="61"/>
  <c r="G39" i="61"/>
  <c r="F58" i="61"/>
  <c r="F49" i="61"/>
  <c r="F41" i="61"/>
  <c r="F67" i="61"/>
  <c r="F26" i="61"/>
  <c r="F33" i="61"/>
  <c r="G6" i="61"/>
  <c r="F18" i="61"/>
  <c r="E47" i="61" l="1"/>
  <c r="E56" i="61"/>
  <c r="H47" i="61"/>
  <c r="G91" i="61"/>
  <c r="G47" i="61"/>
  <c r="G89" i="61" s="1"/>
  <c r="F91" i="61"/>
  <c r="I56" i="61"/>
  <c r="D79" i="61" s="1"/>
  <c r="I39" i="61"/>
  <c r="I47" i="61"/>
  <c r="D78" i="61" s="1"/>
  <c r="F39" i="61"/>
  <c r="F47" i="61"/>
  <c r="F56" i="61"/>
  <c r="F90" i="61" s="1"/>
  <c r="G58" i="61"/>
  <c r="G49" i="61"/>
  <c r="G67" i="61"/>
  <c r="G26" i="61"/>
  <c r="H6" i="61"/>
  <c r="G41" i="61"/>
  <c r="G33" i="61"/>
  <c r="G18" i="61"/>
  <c r="G56" i="61"/>
  <c r="G90" i="61" s="1"/>
  <c r="G93" i="61"/>
  <c r="H93" i="61"/>
  <c r="H91" i="61" l="1"/>
  <c r="H90" i="61"/>
  <c r="H89" i="61"/>
  <c r="H82" i="61"/>
  <c r="H58" i="61"/>
  <c r="H49" i="61"/>
  <c r="I6" i="61"/>
  <c r="H67" i="61"/>
  <c r="H26" i="61"/>
  <c r="H33" i="61"/>
  <c r="H18" i="61"/>
  <c r="H41" i="61"/>
  <c r="F89" i="61"/>
  <c r="F94" i="61" s="1"/>
  <c r="F82" i="61"/>
  <c r="D93" i="61"/>
  <c r="G94" i="61"/>
  <c r="E91" i="61"/>
  <c r="G82" i="61"/>
  <c r="D91" i="61" l="1"/>
  <c r="H94" i="61"/>
  <c r="E89" i="61"/>
  <c r="E82" i="61"/>
  <c r="E90" i="61"/>
  <c r="D90" i="61" s="1"/>
  <c r="I58" i="61"/>
  <c r="I49" i="61"/>
  <c r="I67" i="61"/>
  <c r="I26" i="61"/>
  <c r="I33" i="61"/>
  <c r="I18" i="61"/>
  <c r="I41" i="61"/>
  <c r="E94" i="61" l="1"/>
  <c r="D94" i="61" s="1"/>
  <c r="D89" i="61"/>
  <c r="D82" i="61"/>
  <c r="B33" i="14" l="1"/>
  <c r="B32" i="14"/>
  <c r="C10" i="14" l="1"/>
  <c r="S173" i="57"/>
  <c r="R173" i="57"/>
  <c r="S172" i="57"/>
  <c r="R172" i="57"/>
  <c r="S171" i="57"/>
  <c r="R171" i="57"/>
  <c r="P171" i="57"/>
  <c r="O171" i="57"/>
  <c r="N171" i="57"/>
  <c r="M171" i="57"/>
  <c r="L171" i="57"/>
  <c r="K171" i="57"/>
  <c r="J171" i="57"/>
  <c r="I171" i="57"/>
  <c r="D171" i="57"/>
  <c r="S170" i="57"/>
  <c r="R170" i="57"/>
  <c r="S169" i="57"/>
  <c r="R169" i="57"/>
  <c r="S168" i="57"/>
  <c r="R168" i="57"/>
  <c r="S167" i="57"/>
  <c r="R167" i="57"/>
  <c r="S166" i="57"/>
  <c r="R166" i="57"/>
  <c r="S165" i="57"/>
  <c r="R165" i="57"/>
  <c r="S164" i="57"/>
  <c r="R164" i="57"/>
  <c r="S163" i="57"/>
  <c r="R163" i="57"/>
  <c r="S162" i="57"/>
  <c r="R162" i="57"/>
  <c r="P162" i="57"/>
  <c r="O162" i="57"/>
  <c r="N162" i="57"/>
  <c r="M162" i="57"/>
  <c r="L162" i="57"/>
  <c r="K162" i="57"/>
  <c r="J162" i="57"/>
  <c r="I162" i="57"/>
  <c r="H162" i="57"/>
  <c r="G162" i="57"/>
  <c r="F162" i="57"/>
  <c r="E162" i="57"/>
  <c r="D162" i="57"/>
  <c r="S161" i="57"/>
  <c r="R161" i="57"/>
  <c r="S160" i="57"/>
  <c r="R160" i="57"/>
  <c r="S159" i="57"/>
  <c r="R159" i="57"/>
  <c r="P159" i="57"/>
  <c r="O159" i="57"/>
  <c r="N159" i="57"/>
  <c r="M159" i="57"/>
  <c r="L159" i="57"/>
  <c r="K159" i="57"/>
  <c r="J159" i="57"/>
  <c r="I159" i="57"/>
  <c r="D159" i="57"/>
  <c r="S158" i="57"/>
  <c r="R158" i="57"/>
  <c r="S157" i="57"/>
  <c r="R157" i="57"/>
  <c r="S156" i="57"/>
  <c r="R156" i="57"/>
  <c r="S155" i="57"/>
  <c r="R155" i="57"/>
  <c r="S154" i="57"/>
  <c r="R154" i="57"/>
  <c r="S153" i="57"/>
  <c r="R153" i="57"/>
  <c r="S152" i="57"/>
  <c r="R152" i="57"/>
  <c r="P152" i="57"/>
  <c r="O152" i="57"/>
  <c r="N152" i="57"/>
  <c r="M152" i="57"/>
  <c r="L152" i="57"/>
  <c r="K152" i="57"/>
  <c r="J152" i="57"/>
  <c r="I152" i="57"/>
  <c r="H152" i="57"/>
  <c r="G152" i="57"/>
  <c r="F152" i="57"/>
  <c r="E152" i="57"/>
  <c r="D152" i="57"/>
  <c r="S151" i="57"/>
  <c r="R151" i="57"/>
  <c r="S150" i="57"/>
  <c r="R150" i="57"/>
  <c r="S149" i="57"/>
  <c r="R149" i="57"/>
  <c r="S148" i="57"/>
  <c r="R148" i="57"/>
  <c r="S147" i="57"/>
  <c r="R147" i="57"/>
  <c r="S146" i="57"/>
  <c r="R146" i="57"/>
  <c r="P145" i="57"/>
  <c r="O145" i="57"/>
  <c r="N145" i="57"/>
  <c r="M145" i="57"/>
  <c r="L145" i="57"/>
  <c r="K145" i="57"/>
  <c r="J145" i="57"/>
  <c r="I145" i="57"/>
  <c r="H145" i="57"/>
  <c r="G145" i="57"/>
  <c r="F145" i="57"/>
  <c r="E145" i="57"/>
  <c r="D145" i="57"/>
  <c r="S143" i="57"/>
  <c r="R143" i="57"/>
  <c r="S142" i="57"/>
  <c r="R142" i="57"/>
  <c r="S141" i="57"/>
  <c r="R141" i="57"/>
  <c r="S140" i="57"/>
  <c r="R140" i="57"/>
  <c r="S139" i="57"/>
  <c r="R139" i="57"/>
  <c r="S138" i="57"/>
  <c r="R138" i="57"/>
  <c r="S137" i="57"/>
  <c r="R137" i="57"/>
  <c r="S136" i="57"/>
  <c r="R136" i="57"/>
  <c r="S135" i="57"/>
  <c r="R135" i="57"/>
  <c r="S134" i="57"/>
  <c r="R134" i="57"/>
  <c r="S133" i="57"/>
  <c r="R133" i="57"/>
  <c r="S132" i="57"/>
  <c r="R132" i="57"/>
  <c r="S131" i="57"/>
  <c r="R131" i="57"/>
  <c r="S130" i="57"/>
  <c r="R130" i="57"/>
  <c r="S129" i="57"/>
  <c r="R129" i="57"/>
  <c r="S128" i="57"/>
  <c r="R128" i="57"/>
  <c r="AJ127" i="57"/>
  <c r="S127" i="57"/>
  <c r="R127" i="57"/>
  <c r="AJ126" i="57"/>
  <c r="S126" i="57"/>
  <c r="R126" i="57"/>
  <c r="AJ125" i="57"/>
  <c r="S125" i="57"/>
  <c r="R125" i="57"/>
  <c r="S124" i="57"/>
  <c r="R124" i="57"/>
  <c r="AJ123" i="57"/>
  <c r="S123" i="57"/>
  <c r="R123" i="57"/>
  <c r="AJ122" i="57"/>
  <c r="S122" i="57"/>
  <c r="R122" i="57"/>
  <c r="AJ121" i="57"/>
  <c r="S121" i="57"/>
  <c r="R121" i="57"/>
  <c r="D121" i="57"/>
  <c r="D96" i="57" s="1"/>
  <c r="AJ120" i="57"/>
  <c r="S120" i="57"/>
  <c r="R120" i="57"/>
  <c r="AJ119" i="57"/>
  <c r="S119" i="57"/>
  <c r="R119" i="57"/>
  <c r="AJ118" i="57"/>
  <c r="S118" i="57"/>
  <c r="R118" i="57"/>
  <c r="AJ117" i="57"/>
  <c r="S117" i="57"/>
  <c r="R117" i="57"/>
  <c r="AJ116" i="57"/>
  <c r="S116" i="57"/>
  <c r="R116" i="57"/>
  <c r="AJ115" i="57"/>
  <c r="S115" i="57"/>
  <c r="R115" i="57"/>
  <c r="AJ114" i="57"/>
  <c r="S114" i="57"/>
  <c r="R114" i="57"/>
  <c r="AJ113" i="57"/>
  <c r="S113" i="57"/>
  <c r="R113" i="57"/>
  <c r="AK112" i="57"/>
  <c r="AJ112" i="57"/>
  <c r="S112" i="57"/>
  <c r="R112" i="57"/>
  <c r="AK111" i="57"/>
  <c r="AJ111" i="57"/>
  <c r="S111" i="57"/>
  <c r="R111" i="57"/>
  <c r="AK110" i="57"/>
  <c r="AJ110" i="57"/>
  <c r="S110" i="57"/>
  <c r="R110" i="57"/>
  <c r="S109" i="57"/>
  <c r="R109" i="57"/>
  <c r="S108" i="57"/>
  <c r="R108" i="57"/>
  <c r="AK107" i="57"/>
  <c r="AJ107" i="57"/>
  <c r="S107" i="57"/>
  <c r="R107" i="57"/>
  <c r="AK106" i="57"/>
  <c r="AJ106" i="57"/>
  <c r="S106" i="57"/>
  <c r="R106" i="57"/>
  <c r="S105" i="57"/>
  <c r="R105" i="57"/>
  <c r="S104" i="57"/>
  <c r="R104" i="57"/>
  <c r="S103" i="57"/>
  <c r="R103" i="57"/>
  <c r="S102" i="57"/>
  <c r="R102" i="57"/>
  <c r="AK101" i="57"/>
  <c r="AJ101" i="57"/>
  <c r="S101" i="57"/>
  <c r="R101" i="57"/>
  <c r="S100" i="57"/>
  <c r="R100" i="57"/>
  <c r="AK99" i="57"/>
  <c r="AJ99" i="57"/>
  <c r="S99" i="57"/>
  <c r="R99" i="57"/>
  <c r="AK98" i="57"/>
  <c r="AJ98" i="57"/>
  <c r="S98" i="57"/>
  <c r="R98" i="57"/>
  <c r="AK97" i="57"/>
  <c r="AJ97" i="57"/>
  <c r="S97" i="57"/>
  <c r="R97" i="57"/>
  <c r="AK96" i="57"/>
  <c r="AJ96" i="57"/>
  <c r="S96" i="57"/>
  <c r="R96" i="57"/>
  <c r="P96" i="57"/>
  <c r="O96" i="57"/>
  <c r="N96" i="57"/>
  <c r="M96" i="57"/>
  <c r="L96" i="57"/>
  <c r="K96" i="57"/>
  <c r="J96" i="57"/>
  <c r="I96" i="57"/>
  <c r="H96" i="57"/>
  <c r="G96" i="57"/>
  <c r="F96" i="57"/>
  <c r="E96" i="57"/>
  <c r="AK95" i="57"/>
  <c r="AJ95" i="57"/>
  <c r="S95" i="57"/>
  <c r="R95" i="57"/>
  <c r="AK94" i="57"/>
  <c r="AJ94" i="57"/>
  <c r="S94" i="57"/>
  <c r="R94" i="57"/>
  <c r="AK93" i="57"/>
  <c r="AJ93" i="57"/>
  <c r="S93" i="57"/>
  <c r="R93" i="57"/>
  <c r="AK92" i="57"/>
  <c r="AJ92" i="57"/>
  <c r="S92" i="57"/>
  <c r="R92" i="57"/>
  <c r="AK91" i="57"/>
  <c r="AJ91" i="57"/>
  <c r="S91" i="57"/>
  <c r="R91" i="57"/>
  <c r="AK90" i="57"/>
  <c r="AJ90" i="57"/>
  <c r="S90" i="57"/>
  <c r="R90" i="57"/>
  <c r="AK89" i="57"/>
  <c r="AJ89" i="57"/>
  <c r="S89" i="57"/>
  <c r="R89" i="57"/>
  <c r="AK88" i="57"/>
  <c r="AJ88" i="57"/>
  <c r="S88" i="57"/>
  <c r="R88" i="57"/>
  <c r="AK87" i="57"/>
  <c r="AJ87" i="57"/>
  <c r="S87" i="57"/>
  <c r="R87" i="57"/>
  <c r="AK86" i="57"/>
  <c r="AJ86" i="57"/>
  <c r="S86" i="57"/>
  <c r="R86" i="57"/>
  <c r="AJ85" i="57"/>
  <c r="S85" i="57"/>
  <c r="R85" i="57"/>
  <c r="AJ84" i="57"/>
  <c r="S84" i="57"/>
  <c r="R84" i="57"/>
  <c r="AJ83" i="57"/>
  <c r="AH83" i="57"/>
  <c r="AG83" i="57"/>
  <c r="AF83" i="57"/>
  <c r="AE83" i="57"/>
  <c r="AD83" i="57"/>
  <c r="AC83" i="57"/>
  <c r="AB83" i="57"/>
  <c r="AA83" i="57"/>
  <c r="Z83" i="57"/>
  <c r="Y83" i="57"/>
  <c r="X83" i="57"/>
  <c r="W83" i="57"/>
  <c r="S83" i="57"/>
  <c r="R83" i="57"/>
  <c r="AJ82" i="57"/>
  <c r="AH82" i="57"/>
  <c r="AG82" i="57"/>
  <c r="AF82" i="57"/>
  <c r="AE82" i="57"/>
  <c r="AD82" i="57"/>
  <c r="AC82" i="57"/>
  <c r="AB82" i="57"/>
  <c r="AA82" i="57"/>
  <c r="Z82" i="57"/>
  <c r="Y82" i="57"/>
  <c r="X82" i="57"/>
  <c r="W82" i="57"/>
  <c r="S82" i="57"/>
  <c r="R82" i="57"/>
  <c r="AH81" i="57"/>
  <c r="AG81" i="57"/>
  <c r="AF81" i="57"/>
  <c r="AE81" i="57"/>
  <c r="AD81" i="57"/>
  <c r="AC81" i="57"/>
  <c r="AB81" i="57"/>
  <c r="AA81" i="57"/>
  <c r="Z81" i="57"/>
  <c r="Y81" i="57"/>
  <c r="X81" i="57"/>
  <c r="W81" i="57"/>
  <c r="S81" i="57"/>
  <c r="R81" i="57"/>
  <c r="AJ80" i="57"/>
  <c r="AH80" i="57"/>
  <c r="AG80" i="57"/>
  <c r="AF80" i="57"/>
  <c r="K12" i="57" s="1"/>
  <c r="AE80" i="57"/>
  <c r="AD80" i="57"/>
  <c r="AC80" i="57"/>
  <c r="AB80" i="57"/>
  <c r="AA80" i="57"/>
  <c r="Z80" i="57"/>
  <c r="Y80" i="57"/>
  <c r="X80" i="57"/>
  <c r="W80" i="57"/>
  <c r="S80" i="57"/>
  <c r="R80" i="57"/>
  <c r="AJ79" i="57"/>
  <c r="AH79" i="57"/>
  <c r="AG79" i="57"/>
  <c r="AF79" i="57"/>
  <c r="AE79" i="57"/>
  <c r="AD79" i="57"/>
  <c r="AC79" i="57"/>
  <c r="AB79" i="57"/>
  <c r="AA79" i="57"/>
  <c r="Z79" i="57"/>
  <c r="Y79" i="57"/>
  <c r="X79" i="57"/>
  <c r="W79" i="57"/>
  <c r="S79" i="57"/>
  <c r="R79" i="57"/>
  <c r="AJ78" i="57"/>
  <c r="AH78" i="57"/>
  <c r="AG78" i="57"/>
  <c r="AF78" i="57"/>
  <c r="AE78" i="57"/>
  <c r="AD78" i="57"/>
  <c r="AC78" i="57"/>
  <c r="AB78" i="57"/>
  <c r="AA78" i="57"/>
  <c r="Z78" i="57"/>
  <c r="Y78" i="57"/>
  <c r="X78" i="57"/>
  <c r="W78" i="57"/>
  <c r="S78" i="57"/>
  <c r="R78" i="57"/>
  <c r="AJ77" i="57"/>
  <c r="AH77" i="57"/>
  <c r="AG77" i="57"/>
  <c r="AF77" i="57"/>
  <c r="AE77" i="57"/>
  <c r="AD77" i="57"/>
  <c r="AC77" i="57"/>
  <c r="AB77" i="57"/>
  <c r="AA77" i="57"/>
  <c r="Z77" i="57"/>
  <c r="Y77" i="57"/>
  <c r="X77" i="57"/>
  <c r="W77" i="57"/>
  <c r="S77" i="57"/>
  <c r="R77" i="57"/>
  <c r="AH76" i="57"/>
  <c r="AG76" i="57"/>
  <c r="AF76" i="57"/>
  <c r="AE76" i="57"/>
  <c r="AD76" i="57"/>
  <c r="AC76" i="57"/>
  <c r="AB76" i="57"/>
  <c r="AA76" i="57"/>
  <c r="Z76" i="57"/>
  <c r="Y76" i="57"/>
  <c r="X76" i="57"/>
  <c r="W76" i="57"/>
  <c r="S76" i="57"/>
  <c r="R76" i="57"/>
  <c r="AJ75" i="57"/>
  <c r="AH75" i="57"/>
  <c r="AG75" i="57"/>
  <c r="AF75" i="57"/>
  <c r="AE75" i="57"/>
  <c r="AD75" i="57"/>
  <c r="AC75" i="57"/>
  <c r="AB75" i="57"/>
  <c r="AA75" i="57"/>
  <c r="Z75" i="57"/>
  <c r="Y75" i="57"/>
  <c r="X75" i="57"/>
  <c r="W75" i="57"/>
  <c r="S75" i="57"/>
  <c r="R75" i="57"/>
  <c r="AJ74" i="57"/>
  <c r="AH74" i="57"/>
  <c r="AG74" i="57"/>
  <c r="AF74" i="57"/>
  <c r="AE74" i="57"/>
  <c r="AD74" i="57"/>
  <c r="AC74" i="57"/>
  <c r="AB74" i="57"/>
  <c r="AA74" i="57"/>
  <c r="Z74" i="57"/>
  <c r="Y74" i="57"/>
  <c r="X74" i="57"/>
  <c r="W74" i="57"/>
  <c r="S74" i="57"/>
  <c r="R74" i="57"/>
  <c r="AJ73" i="57"/>
  <c r="AH73" i="57"/>
  <c r="AG73" i="57"/>
  <c r="AF73" i="57"/>
  <c r="AE73" i="57"/>
  <c r="AD73" i="57"/>
  <c r="AC73" i="57"/>
  <c r="AB73" i="57"/>
  <c r="AA73" i="57"/>
  <c r="Z73" i="57"/>
  <c r="Y73" i="57"/>
  <c r="X73" i="57"/>
  <c r="W73" i="57"/>
  <c r="S73" i="57"/>
  <c r="R73" i="57"/>
  <c r="AJ72" i="57"/>
  <c r="AH72" i="57"/>
  <c r="AG72" i="57"/>
  <c r="AF72" i="57"/>
  <c r="J12" i="57" s="1"/>
  <c r="AE72" i="57"/>
  <c r="AD72" i="57"/>
  <c r="AC72" i="57"/>
  <c r="AB72" i="57"/>
  <c r="AA72" i="57"/>
  <c r="Z72" i="57"/>
  <c r="Y72" i="57"/>
  <c r="X72" i="57"/>
  <c r="W72" i="57"/>
  <c r="S72" i="57"/>
  <c r="R72" i="57"/>
  <c r="AH71" i="57"/>
  <c r="AG71" i="57"/>
  <c r="AF71" i="57"/>
  <c r="AE71" i="57"/>
  <c r="AD71" i="57"/>
  <c r="AC71" i="57"/>
  <c r="AB71" i="57"/>
  <c r="AA71" i="57"/>
  <c r="Z71" i="57"/>
  <c r="Y71" i="57"/>
  <c r="X71" i="57"/>
  <c r="W71" i="57"/>
  <c r="S71" i="57"/>
  <c r="R71" i="57"/>
  <c r="AH70" i="57"/>
  <c r="AG70" i="57"/>
  <c r="AF70" i="57"/>
  <c r="AE70" i="57"/>
  <c r="AD70" i="57"/>
  <c r="AC70" i="57"/>
  <c r="AB70" i="57"/>
  <c r="AA70" i="57"/>
  <c r="Z70" i="57"/>
  <c r="Y70" i="57"/>
  <c r="X70" i="57"/>
  <c r="W70" i="57"/>
  <c r="S70" i="57"/>
  <c r="R70" i="57"/>
  <c r="AJ69" i="57"/>
  <c r="AH69" i="57"/>
  <c r="AG69" i="57"/>
  <c r="AF69" i="57"/>
  <c r="AE69" i="57"/>
  <c r="AD69" i="57"/>
  <c r="AC69" i="57"/>
  <c r="AB69" i="57"/>
  <c r="AA69" i="57"/>
  <c r="Z69" i="57"/>
  <c r="Y69" i="57"/>
  <c r="X69" i="57"/>
  <c r="W69" i="57"/>
  <c r="S69" i="57"/>
  <c r="R69" i="57"/>
  <c r="AJ68" i="57"/>
  <c r="AH68" i="57"/>
  <c r="AG68" i="57"/>
  <c r="AF68" i="57"/>
  <c r="I12" i="57" s="1"/>
  <c r="AE68" i="57"/>
  <c r="AD68" i="57"/>
  <c r="AC68" i="57"/>
  <c r="AB68" i="57"/>
  <c r="AA68" i="57"/>
  <c r="Z68" i="57"/>
  <c r="Y68" i="57"/>
  <c r="X68" i="57"/>
  <c r="W68" i="57"/>
  <c r="S68" i="57"/>
  <c r="R68" i="57"/>
  <c r="AJ67" i="57"/>
  <c r="AH67" i="57"/>
  <c r="AG67" i="57"/>
  <c r="AF67" i="57"/>
  <c r="AE67" i="57"/>
  <c r="AD67" i="57"/>
  <c r="AC67" i="57"/>
  <c r="AB67" i="57"/>
  <c r="AA67" i="57"/>
  <c r="Z67" i="57"/>
  <c r="Y67" i="57"/>
  <c r="X67" i="57"/>
  <c r="W67" i="57"/>
  <c r="S67" i="57"/>
  <c r="R67" i="57"/>
  <c r="AJ66" i="57"/>
  <c r="AH66" i="57"/>
  <c r="AG66" i="57"/>
  <c r="AF66" i="57"/>
  <c r="AE66" i="57"/>
  <c r="AD66" i="57"/>
  <c r="AC66" i="57"/>
  <c r="AB66" i="57"/>
  <c r="AA66" i="57"/>
  <c r="Z66" i="57"/>
  <c r="Y66" i="57"/>
  <c r="X66" i="57"/>
  <c r="W66" i="57"/>
  <c r="S66" i="57"/>
  <c r="R66" i="57"/>
  <c r="AJ65" i="57"/>
  <c r="AH65" i="57"/>
  <c r="AG65" i="57"/>
  <c r="AF65" i="57"/>
  <c r="AE65" i="57"/>
  <c r="AD65" i="57"/>
  <c r="AC65" i="57"/>
  <c r="AB65" i="57"/>
  <c r="AA65" i="57"/>
  <c r="Z65" i="57"/>
  <c r="Y65" i="57"/>
  <c r="X65" i="57"/>
  <c r="W65" i="57"/>
  <c r="S65" i="57"/>
  <c r="R65" i="57"/>
  <c r="AJ64" i="57"/>
  <c r="AH64" i="57"/>
  <c r="AG64" i="57"/>
  <c r="AF64" i="57"/>
  <c r="AE64" i="57"/>
  <c r="AD64" i="57"/>
  <c r="AC64" i="57"/>
  <c r="AB64" i="57"/>
  <c r="AA64" i="57"/>
  <c r="Z64" i="57"/>
  <c r="Y64" i="57"/>
  <c r="X64" i="57"/>
  <c r="W64" i="57"/>
  <c r="S64" i="57"/>
  <c r="R64" i="57"/>
  <c r="AJ63" i="57"/>
  <c r="AH63" i="57"/>
  <c r="AG63" i="57"/>
  <c r="AF63" i="57"/>
  <c r="AE63" i="57"/>
  <c r="AD63" i="57"/>
  <c r="AC63" i="57"/>
  <c r="AB63" i="57"/>
  <c r="AA63" i="57"/>
  <c r="Z63" i="57"/>
  <c r="Y63" i="57"/>
  <c r="X63" i="57"/>
  <c r="W63" i="57"/>
  <c r="S63" i="57"/>
  <c r="R63" i="57"/>
  <c r="AH62" i="57"/>
  <c r="AG62" i="57"/>
  <c r="AF62" i="57"/>
  <c r="AE62" i="57"/>
  <c r="AD62" i="57"/>
  <c r="AC62" i="57"/>
  <c r="AB62" i="57"/>
  <c r="AA62" i="57"/>
  <c r="Z62" i="57"/>
  <c r="Y62" i="57"/>
  <c r="X62" i="57"/>
  <c r="W62" i="57"/>
  <c r="S62" i="57"/>
  <c r="R62" i="57"/>
  <c r="AJ61" i="57"/>
  <c r="AH61" i="57"/>
  <c r="AG61" i="57"/>
  <c r="AF61" i="57"/>
  <c r="AE61" i="57"/>
  <c r="AD61" i="57"/>
  <c r="AC61" i="57"/>
  <c r="AB61" i="57"/>
  <c r="AA61" i="57"/>
  <c r="Z61" i="57"/>
  <c r="Y61" i="57"/>
  <c r="X61" i="57"/>
  <c r="W61" i="57"/>
  <c r="S61" i="57"/>
  <c r="R61" i="57"/>
  <c r="AJ60" i="57"/>
  <c r="AH60" i="57"/>
  <c r="AG60" i="57"/>
  <c r="AF60" i="57"/>
  <c r="AE60" i="57"/>
  <c r="AD60" i="57"/>
  <c r="AC60" i="57"/>
  <c r="AB60" i="57"/>
  <c r="AA60" i="57"/>
  <c r="Z60" i="57"/>
  <c r="Y60" i="57"/>
  <c r="X60" i="57"/>
  <c r="W60" i="57"/>
  <c r="S60" i="57"/>
  <c r="R60" i="57"/>
  <c r="AH59" i="57"/>
  <c r="AG59" i="57"/>
  <c r="AF59" i="57"/>
  <c r="AE59" i="57"/>
  <c r="AD59" i="57"/>
  <c r="AC59" i="57"/>
  <c r="AB59" i="57"/>
  <c r="AA59" i="57"/>
  <c r="Z59" i="57"/>
  <c r="Y59" i="57"/>
  <c r="X59" i="57"/>
  <c r="W59" i="57"/>
  <c r="S59" i="57"/>
  <c r="R59" i="57"/>
  <c r="AJ58" i="57"/>
  <c r="AH58" i="57"/>
  <c r="AG58" i="57"/>
  <c r="AF58" i="57"/>
  <c r="AE58" i="57"/>
  <c r="AD58" i="57"/>
  <c r="AC58" i="57"/>
  <c r="AB58" i="57"/>
  <c r="AA58" i="57"/>
  <c r="Z58" i="57"/>
  <c r="Y58" i="57"/>
  <c r="X58" i="57"/>
  <c r="W58" i="57"/>
  <c r="S58" i="57"/>
  <c r="R58" i="57"/>
  <c r="AJ57" i="57"/>
  <c r="AH57" i="57"/>
  <c r="AG57" i="57"/>
  <c r="AF57" i="57"/>
  <c r="AE57" i="57"/>
  <c r="AD57" i="57"/>
  <c r="AC57" i="57"/>
  <c r="AB57" i="57"/>
  <c r="AA57" i="57"/>
  <c r="Z57" i="57"/>
  <c r="Y57" i="57"/>
  <c r="X57" i="57"/>
  <c r="W57" i="57"/>
  <c r="S57" i="57"/>
  <c r="R57" i="57"/>
  <c r="AJ56" i="57"/>
  <c r="AH56" i="57"/>
  <c r="AG56" i="57"/>
  <c r="AF56" i="57"/>
  <c r="AE56" i="57"/>
  <c r="AD56" i="57"/>
  <c r="AC56" i="57"/>
  <c r="AB56" i="57"/>
  <c r="AA56" i="57"/>
  <c r="Z56" i="57"/>
  <c r="Y56" i="57"/>
  <c r="X56" i="57"/>
  <c r="W56" i="57"/>
  <c r="S56" i="57"/>
  <c r="R56" i="57"/>
  <c r="AJ55" i="57"/>
  <c r="AH55" i="57"/>
  <c r="AG55" i="57"/>
  <c r="AF55" i="57"/>
  <c r="AE55" i="57"/>
  <c r="AD55" i="57"/>
  <c r="AC55" i="57"/>
  <c r="AB55" i="57"/>
  <c r="AA55" i="57"/>
  <c r="Z55" i="57"/>
  <c r="Y55" i="57"/>
  <c r="X55" i="57"/>
  <c r="W55" i="57"/>
  <c r="S55" i="57"/>
  <c r="R55" i="57"/>
  <c r="AJ54" i="57"/>
  <c r="AH54" i="57"/>
  <c r="AG54" i="57"/>
  <c r="AF54" i="57"/>
  <c r="AE54" i="57"/>
  <c r="AD54" i="57"/>
  <c r="AC54" i="57"/>
  <c r="AB54" i="57"/>
  <c r="AA54" i="57"/>
  <c r="Z54" i="57"/>
  <c r="Y54" i="57"/>
  <c r="X54" i="57"/>
  <c r="W54" i="57"/>
  <c r="S54" i="57"/>
  <c r="R54" i="57"/>
  <c r="AJ53" i="57"/>
  <c r="AH53" i="57"/>
  <c r="AG53" i="57"/>
  <c r="AF53" i="57"/>
  <c r="AE53" i="57"/>
  <c r="AD53" i="57"/>
  <c r="AC53" i="57"/>
  <c r="AB53" i="57"/>
  <c r="AA53" i="57"/>
  <c r="Z53" i="57"/>
  <c r="Y53" i="57"/>
  <c r="X53" i="57"/>
  <c r="W53" i="57"/>
  <c r="S53" i="57"/>
  <c r="R53" i="57"/>
  <c r="P53" i="57"/>
  <c r="O53" i="57"/>
  <c r="N53" i="57"/>
  <c r="M53" i="57"/>
  <c r="L53" i="57"/>
  <c r="K53" i="57"/>
  <c r="J53" i="57"/>
  <c r="I53" i="57"/>
  <c r="H53" i="57"/>
  <c r="G53" i="57"/>
  <c r="F53" i="57"/>
  <c r="E53" i="57"/>
  <c r="D53" i="57"/>
  <c r="AH52" i="57"/>
  <c r="AG52" i="57"/>
  <c r="AF52" i="57"/>
  <c r="AE52" i="57"/>
  <c r="AD52" i="57"/>
  <c r="AC52" i="57"/>
  <c r="AB52" i="57"/>
  <c r="AA52" i="57"/>
  <c r="Z52" i="57"/>
  <c r="Y52" i="57"/>
  <c r="X52" i="57"/>
  <c r="W52" i="57"/>
  <c r="S52" i="57"/>
  <c r="R52" i="57"/>
  <c r="AJ51" i="57"/>
  <c r="AH51" i="57"/>
  <c r="AG51" i="57"/>
  <c r="AF51" i="57"/>
  <c r="AE51" i="57"/>
  <c r="AD51" i="57"/>
  <c r="AC51" i="57"/>
  <c r="AB51" i="57"/>
  <c r="AA51" i="57"/>
  <c r="Z51" i="57"/>
  <c r="Y51" i="57"/>
  <c r="X51" i="57"/>
  <c r="W51" i="57"/>
  <c r="S51" i="57"/>
  <c r="R51" i="57"/>
  <c r="AJ50" i="57"/>
  <c r="AH50" i="57"/>
  <c r="AG50" i="57"/>
  <c r="AF50" i="57"/>
  <c r="H12" i="57" s="1"/>
  <c r="AE50" i="57"/>
  <c r="AD50" i="57"/>
  <c r="AC50" i="57"/>
  <c r="AB50" i="57"/>
  <c r="AA50" i="57"/>
  <c r="Z50" i="57"/>
  <c r="Y50" i="57"/>
  <c r="X50" i="57"/>
  <c r="S50" i="57"/>
  <c r="R50" i="57"/>
  <c r="AJ49" i="57"/>
  <c r="AH49" i="57"/>
  <c r="AG49" i="57"/>
  <c r="AF49" i="57"/>
  <c r="AE49" i="57"/>
  <c r="AD49" i="57"/>
  <c r="AC49" i="57"/>
  <c r="AB49" i="57"/>
  <c r="AA49" i="57"/>
  <c r="Z49" i="57"/>
  <c r="Y49" i="57"/>
  <c r="X49" i="57"/>
  <c r="W49" i="57"/>
  <c r="S49" i="57"/>
  <c r="R49" i="57"/>
  <c r="AH48" i="57"/>
  <c r="AG48" i="57"/>
  <c r="AF48" i="57"/>
  <c r="AE48" i="57"/>
  <c r="AD48" i="57"/>
  <c r="AC48" i="57"/>
  <c r="AB48" i="57"/>
  <c r="AA48" i="57"/>
  <c r="Z48" i="57"/>
  <c r="Y48" i="57"/>
  <c r="X48" i="57"/>
  <c r="W48" i="57"/>
  <c r="S48" i="57"/>
  <c r="R48" i="57"/>
  <c r="AJ47" i="57"/>
  <c r="AH47" i="57"/>
  <c r="AG47" i="57"/>
  <c r="AF47" i="57"/>
  <c r="AE47" i="57"/>
  <c r="AD47" i="57"/>
  <c r="AC47" i="57"/>
  <c r="AB47" i="57"/>
  <c r="AA47" i="57"/>
  <c r="Z47" i="57"/>
  <c r="Y47" i="57"/>
  <c r="X47" i="57"/>
  <c r="W47" i="57"/>
  <c r="S47" i="57"/>
  <c r="R47" i="57"/>
  <c r="AH46" i="57"/>
  <c r="AG46" i="57"/>
  <c r="AF46" i="57"/>
  <c r="AE46" i="57"/>
  <c r="AD46" i="57"/>
  <c r="AC46" i="57"/>
  <c r="AB46" i="57"/>
  <c r="AA46" i="57"/>
  <c r="Z46" i="57"/>
  <c r="Y46" i="57"/>
  <c r="X46" i="57"/>
  <c r="W46" i="57"/>
  <c r="S46" i="57"/>
  <c r="R46" i="57"/>
  <c r="AJ45" i="57"/>
  <c r="AH45" i="57"/>
  <c r="AG45" i="57"/>
  <c r="AF45" i="57"/>
  <c r="AE45" i="57"/>
  <c r="AD45" i="57"/>
  <c r="AC45" i="57"/>
  <c r="AB45" i="57"/>
  <c r="AA45" i="57"/>
  <c r="Z45" i="57"/>
  <c r="Y45" i="57"/>
  <c r="X45" i="57"/>
  <c r="W45" i="57"/>
  <c r="S45" i="57"/>
  <c r="R45" i="57"/>
  <c r="P45" i="57"/>
  <c r="O45" i="57"/>
  <c r="N45" i="57"/>
  <c r="M45" i="57"/>
  <c r="L45" i="57"/>
  <c r="K45" i="57"/>
  <c r="J45" i="57"/>
  <c r="I45" i="57"/>
  <c r="H45" i="57"/>
  <c r="G45" i="57"/>
  <c r="F45" i="57"/>
  <c r="E45" i="57"/>
  <c r="D45" i="57"/>
  <c r="AJ44" i="57"/>
  <c r="AH44" i="57"/>
  <c r="AG44" i="57"/>
  <c r="AF44" i="57"/>
  <c r="AE44" i="57"/>
  <c r="AD44" i="57"/>
  <c r="AC44" i="57"/>
  <c r="AB44" i="57"/>
  <c r="AA44" i="57"/>
  <c r="Z44" i="57"/>
  <c r="Y44" i="57"/>
  <c r="X44" i="57"/>
  <c r="W44" i="57"/>
  <c r="S44" i="57"/>
  <c r="R44" i="57"/>
  <c r="AJ43" i="57"/>
  <c r="AH43" i="57"/>
  <c r="AG43" i="57"/>
  <c r="AF43" i="57"/>
  <c r="G12" i="57" s="1"/>
  <c r="AE43" i="57"/>
  <c r="AD43" i="57"/>
  <c r="AC43" i="57"/>
  <c r="AB43" i="57"/>
  <c r="AA43" i="57"/>
  <c r="Z43" i="57"/>
  <c r="Y43" i="57"/>
  <c r="X43" i="57"/>
  <c r="W43" i="57"/>
  <c r="S43" i="57"/>
  <c r="R43" i="57"/>
  <c r="AJ42" i="57"/>
  <c r="AH42" i="57"/>
  <c r="AG42" i="57"/>
  <c r="AF42" i="57"/>
  <c r="AE42" i="57"/>
  <c r="AD42" i="57"/>
  <c r="AC42" i="57"/>
  <c r="AB42" i="57"/>
  <c r="AA42" i="57"/>
  <c r="Z42" i="57"/>
  <c r="Y42" i="57"/>
  <c r="X42" i="57"/>
  <c r="W42" i="57"/>
  <c r="S42" i="57"/>
  <c r="R42" i="57"/>
  <c r="AJ41" i="57"/>
  <c r="AH41" i="57"/>
  <c r="AG41" i="57"/>
  <c r="AF41" i="57"/>
  <c r="AE41" i="57"/>
  <c r="AD41" i="57"/>
  <c r="AC41" i="57"/>
  <c r="AB41" i="57"/>
  <c r="AA41" i="57"/>
  <c r="Z41" i="57"/>
  <c r="Y41" i="57"/>
  <c r="X41" i="57"/>
  <c r="W41" i="57"/>
  <c r="S41" i="57"/>
  <c r="R41" i="57"/>
  <c r="AJ40" i="57"/>
  <c r="AH40" i="57"/>
  <c r="AG40" i="57"/>
  <c r="AF40" i="57"/>
  <c r="AE40" i="57"/>
  <c r="AD40" i="57"/>
  <c r="AC40" i="57"/>
  <c r="AB40" i="57"/>
  <c r="AA40" i="57"/>
  <c r="Z40" i="57"/>
  <c r="Y40" i="57"/>
  <c r="X40" i="57"/>
  <c r="W40" i="57"/>
  <c r="S40" i="57"/>
  <c r="R40" i="57"/>
  <c r="AJ39" i="57"/>
  <c r="AH39" i="57"/>
  <c r="AG39" i="57"/>
  <c r="AF39" i="57"/>
  <c r="AE39" i="57"/>
  <c r="AD39" i="57"/>
  <c r="AC39" i="57"/>
  <c r="AB39" i="57"/>
  <c r="AA39" i="57"/>
  <c r="Z39" i="57"/>
  <c r="Y39" i="57"/>
  <c r="X39" i="57"/>
  <c r="W39" i="57"/>
  <c r="S39" i="57"/>
  <c r="R39" i="57"/>
  <c r="AJ38" i="57"/>
  <c r="AH38" i="57"/>
  <c r="AG38" i="57"/>
  <c r="AF38" i="57"/>
  <c r="AE38" i="57"/>
  <c r="AD38" i="57"/>
  <c r="AC38" i="57"/>
  <c r="AB38" i="57"/>
  <c r="AA38" i="57"/>
  <c r="Z38" i="57"/>
  <c r="Y38" i="57"/>
  <c r="X38" i="57"/>
  <c r="W38" i="57"/>
  <c r="S38" i="57"/>
  <c r="R38" i="57"/>
  <c r="AJ37" i="57"/>
  <c r="AH37" i="57"/>
  <c r="AG37" i="57"/>
  <c r="AF37" i="57"/>
  <c r="AE37" i="57"/>
  <c r="AD37" i="57"/>
  <c r="AC37" i="57"/>
  <c r="AB37" i="57"/>
  <c r="AA37" i="57"/>
  <c r="Z37" i="57"/>
  <c r="Y37" i="57"/>
  <c r="X37" i="57"/>
  <c r="W37" i="57"/>
  <c r="S37" i="57"/>
  <c r="R37" i="57"/>
  <c r="P37" i="57"/>
  <c r="O37" i="57"/>
  <c r="N37" i="57"/>
  <c r="M37" i="57"/>
  <c r="L37" i="57"/>
  <c r="K37" i="57"/>
  <c r="J37" i="57"/>
  <c r="I37" i="57"/>
  <c r="H37" i="57"/>
  <c r="G37" i="57"/>
  <c r="F37" i="57"/>
  <c r="E37" i="57"/>
  <c r="D37" i="57"/>
  <c r="AJ36" i="57"/>
  <c r="AH36" i="57"/>
  <c r="AG36" i="57"/>
  <c r="AF36" i="57"/>
  <c r="AE36" i="57"/>
  <c r="AD36" i="57"/>
  <c r="AC36" i="57"/>
  <c r="AB36" i="57"/>
  <c r="AA36" i="57"/>
  <c r="Z36" i="57"/>
  <c r="Y36" i="57"/>
  <c r="X36" i="57"/>
  <c r="W36" i="57"/>
  <c r="S36" i="57"/>
  <c r="R36" i="57"/>
  <c r="AH35" i="57"/>
  <c r="AG35" i="57"/>
  <c r="AF35" i="57"/>
  <c r="AE35" i="57"/>
  <c r="AD35" i="57"/>
  <c r="AC35" i="57"/>
  <c r="AB35" i="57"/>
  <c r="AA35" i="57"/>
  <c r="Z35" i="57"/>
  <c r="Y35" i="57"/>
  <c r="X35" i="57"/>
  <c r="W35" i="57"/>
  <c r="S35" i="57"/>
  <c r="R35" i="57"/>
  <c r="AJ34" i="57"/>
  <c r="AH34" i="57"/>
  <c r="AG34" i="57"/>
  <c r="AF34" i="57"/>
  <c r="AE34" i="57"/>
  <c r="AD34" i="57"/>
  <c r="AC34" i="57"/>
  <c r="AB34" i="57"/>
  <c r="AA34" i="57"/>
  <c r="Z34" i="57"/>
  <c r="Y34" i="57"/>
  <c r="X34" i="57"/>
  <c r="W34" i="57"/>
  <c r="S34" i="57"/>
  <c r="R34" i="57"/>
  <c r="AJ33" i="57"/>
  <c r="AH33" i="57"/>
  <c r="AG33" i="57"/>
  <c r="AF33" i="57"/>
  <c r="F12" i="57" s="1"/>
  <c r="AE33" i="57"/>
  <c r="AD33" i="57"/>
  <c r="AC33" i="57"/>
  <c r="AB33" i="57"/>
  <c r="AA33" i="57"/>
  <c r="Z33" i="57"/>
  <c r="Y33" i="57"/>
  <c r="X33" i="57"/>
  <c r="S33" i="57"/>
  <c r="R33" i="57"/>
  <c r="AJ32" i="57"/>
  <c r="AH32" i="57"/>
  <c r="AG32" i="57"/>
  <c r="AF32" i="57"/>
  <c r="AE32" i="57"/>
  <c r="AD32" i="57"/>
  <c r="AC32" i="57"/>
  <c r="AB32" i="57"/>
  <c r="AA32" i="57"/>
  <c r="Z32" i="57"/>
  <c r="Y32" i="57"/>
  <c r="X32" i="57"/>
  <c r="W32" i="57"/>
  <c r="S32" i="57"/>
  <c r="R32" i="57"/>
  <c r="AJ31" i="57"/>
  <c r="AH31" i="57"/>
  <c r="AG31" i="57"/>
  <c r="AF31" i="57"/>
  <c r="AE31" i="57"/>
  <c r="AD31" i="57"/>
  <c r="AC31" i="57"/>
  <c r="AB31" i="57"/>
  <c r="AA31" i="57"/>
  <c r="Z31" i="57"/>
  <c r="Y31" i="57"/>
  <c r="X31" i="57"/>
  <c r="W31" i="57"/>
  <c r="S31" i="57"/>
  <c r="R31" i="57"/>
  <c r="AJ30" i="57"/>
  <c r="AH30" i="57"/>
  <c r="AG30" i="57"/>
  <c r="AF30" i="57"/>
  <c r="AE30" i="57"/>
  <c r="AD30" i="57"/>
  <c r="AC30" i="57"/>
  <c r="AB30" i="57"/>
  <c r="AA30" i="57"/>
  <c r="Z30" i="57"/>
  <c r="Y30" i="57"/>
  <c r="X30" i="57"/>
  <c r="W30" i="57"/>
  <c r="S30" i="57"/>
  <c r="R30" i="57"/>
  <c r="AJ29" i="57"/>
  <c r="AH29" i="57"/>
  <c r="AG29" i="57"/>
  <c r="AF29" i="57"/>
  <c r="AE29" i="57"/>
  <c r="AD29" i="57"/>
  <c r="AC29" i="57"/>
  <c r="AB29" i="57"/>
  <c r="AA29" i="57"/>
  <c r="Z29" i="57"/>
  <c r="Y29" i="57"/>
  <c r="X29" i="57"/>
  <c r="W29" i="57"/>
  <c r="S29" i="57"/>
  <c r="R29" i="57"/>
  <c r="AJ28" i="57"/>
  <c r="AH28" i="57"/>
  <c r="AG28" i="57"/>
  <c r="AF28" i="57"/>
  <c r="E12" i="57" s="1"/>
  <c r="AE28" i="57"/>
  <c r="AD28" i="57"/>
  <c r="AC28" i="57"/>
  <c r="AB28" i="57"/>
  <c r="AA28" i="57"/>
  <c r="Z28" i="57"/>
  <c r="Y28" i="57"/>
  <c r="X28" i="57"/>
  <c r="S28" i="57"/>
  <c r="R28" i="57"/>
  <c r="AH27" i="57"/>
  <c r="AG27" i="57"/>
  <c r="AF27" i="57"/>
  <c r="AE27" i="57"/>
  <c r="AD27" i="57"/>
  <c r="AC27" i="57"/>
  <c r="AB27" i="57"/>
  <c r="AA27" i="57"/>
  <c r="Z27" i="57"/>
  <c r="Y27" i="57"/>
  <c r="X27" i="57"/>
  <c r="W27" i="57"/>
  <c r="S27" i="57"/>
  <c r="R27" i="57"/>
  <c r="AH26" i="57"/>
  <c r="AG26" i="57"/>
  <c r="AF26" i="57"/>
  <c r="AE26" i="57"/>
  <c r="AD26" i="57"/>
  <c r="AC26" i="57"/>
  <c r="AB26" i="57"/>
  <c r="AA26" i="57"/>
  <c r="Z26" i="57"/>
  <c r="Y26" i="57"/>
  <c r="X26" i="57"/>
  <c r="W26" i="57"/>
  <c r="S26" i="57"/>
  <c r="R26" i="57"/>
  <c r="AH25" i="57"/>
  <c r="AG25" i="57"/>
  <c r="AF25" i="57"/>
  <c r="AE25" i="57"/>
  <c r="AD25" i="57"/>
  <c r="AC25" i="57"/>
  <c r="AB25" i="57"/>
  <c r="AA25" i="57"/>
  <c r="Z25" i="57"/>
  <c r="Y25" i="57"/>
  <c r="X25" i="57"/>
  <c r="W25" i="57"/>
  <c r="S25" i="57"/>
  <c r="R25" i="57"/>
  <c r="AJ24" i="57"/>
  <c r="AH24" i="57"/>
  <c r="AG24" i="57"/>
  <c r="AF24" i="57"/>
  <c r="D12" i="57" s="1"/>
  <c r="AE24" i="57"/>
  <c r="AD24" i="57"/>
  <c r="AC24" i="57"/>
  <c r="AB24" i="57"/>
  <c r="AA24" i="57"/>
  <c r="Z24" i="57"/>
  <c r="Y24" i="57"/>
  <c r="X24" i="57"/>
  <c r="S24" i="57"/>
  <c r="R24" i="57"/>
  <c r="AJ23" i="57"/>
  <c r="AH23" i="57"/>
  <c r="AG23" i="57"/>
  <c r="AF23" i="57"/>
  <c r="AE23" i="57"/>
  <c r="AD23" i="57"/>
  <c r="AC23" i="57"/>
  <c r="AB23" i="57"/>
  <c r="AA23" i="57"/>
  <c r="Z23" i="57"/>
  <c r="Y23" i="57"/>
  <c r="X23" i="57"/>
  <c r="W23" i="57"/>
  <c r="S23" i="57"/>
  <c r="R23" i="57"/>
  <c r="AI22" i="57"/>
  <c r="AH22" i="57"/>
  <c r="AG22" i="57"/>
  <c r="AF22" i="57"/>
  <c r="C12" i="57" s="1"/>
  <c r="AE22" i="57"/>
  <c r="AD22" i="57"/>
  <c r="AC22" i="57"/>
  <c r="AB22" i="57"/>
  <c r="AA22" i="57"/>
  <c r="Z22" i="57"/>
  <c r="Y22" i="57"/>
  <c r="X22" i="57"/>
  <c r="W22" i="57"/>
  <c r="S22" i="57"/>
  <c r="R22" i="57"/>
  <c r="AJ21" i="57"/>
  <c r="AH21" i="57"/>
  <c r="AG21" i="57"/>
  <c r="AF21" i="57"/>
  <c r="AE21" i="57"/>
  <c r="AD21" i="57"/>
  <c r="AC21" i="57"/>
  <c r="AB21" i="57"/>
  <c r="AA21" i="57"/>
  <c r="Z21" i="57"/>
  <c r="Y21" i="57"/>
  <c r="X21" i="57"/>
  <c r="W21" i="57"/>
  <c r="S21" i="57"/>
  <c r="R21" i="57"/>
  <c r="AJ20" i="57"/>
  <c r="AH20" i="57"/>
  <c r="AG20" i="57"/>
  <c r="AF20" i="57"/>
  <c r="AE20" i="57"/>
  <c r="AD20" i="57"/>
  <c r="AC20" i="57"/>
  <c r="AB20" i="57"/>
  <c r="AA20" i="57"/>
  <c r="Z20" i="57"/>
  <c r="Y20" i="57"/>
  <c r="X20" i="57"/>
  <c r="W20" i="57"/>
  <c r="S20" i="57"/>
  <c r="R20" i="57"/>
  <c r="AJ19" i="57"/>
  <c r="AH19" i="57"/>
  <c r="AG19" i="57"/>
  <c r="AF19" i="57"/>
  <c r="AE19" i="57"/>
  <c r="AD19" i="57"/>
  <c r="AC19" i="57"/>
  <c r="AB19" i="57"/>
  <c r="AA19" i="57"/>
  <c r="Z19" i="57"/>
  <c r="Y19" i="57"/>
  <c r="X19" i="57"/>
  <c r="W19" i="57"/>
  <c r="S19" i="57"/>
  <c r="R19" i="57"/>
  <c r="S18" i="57"/>
  <c r="R18" i="57"/>
  <c r="P17" i="57"/>
  <c r="O17" i="57"/>
  <c r="N17" i="57"/>
  <c r="M17" i="57"/>
  <c r="L17" i="57"/>
  <c r="K17" i="57"/>
  <c r="J17" i="57"/>
  <c r="I17" i="57"/>
  <c r="H17" i="57"/>
  <c r="G17" i="57"/>
  <c r="F17" i="57"/>
  <c r="E17" i="57"/>
  <c r="D17" i="57"/>
  <c r="M7" i="57"/>
  <c r="D7" i="57"/>
  <c r="B7" i="57"/>
  <c r="M6" i="57"/>
  <c r="D5" i="57"/>
  <c r="C5" i="57"/>
  <c r="C3" i="57" s="1"/>
  <c r="B5" i="57"/>
  <c r="N4" i="57"/>
  <c r="D4" i="57"/>
  <c r="D3" i="57" s="1"/>
  <c r="E3" i="57" s="1"/>
  <c r="B4" i="57"/>
  <c r="N3" i="57"/>
  <c r="F7" i="57" l="1"/>
  <c r="M15" i="57"/>
  <c r="L15" i="57"/>
  <c r="N15" i="57"/>
  <c r="I15" i="57"/>
  <c r="J15" i="57"/>
  <c r="K15" i="57"/>
  <c r="F15" i="57"/>
  <c r="D15" i="57"/>
  <c r="G15" i="57"/>
  <c r="F5" i="57"/>
  <c r="H15" i="57"/>
  <c r="M11" i="57"/>
  <c r="O15" i="57"/>
  <c r="P15" i="57"/>
  <c r="E15" i="57"/>
  <c r="AB17" i="57"/>
  <c r="AB14" i="57" s="1"/>
  <c r="W17" i="57"/>
  <c r="X17" i="57"/>
  <c r="X14" i="57" s="1"/>
  <c r="AH17" i="57"/>
  <c r="AH14" i="57" s="1"/>
  <c r="Z17" i="57"/>
  <c r="Z14" i="57" s="1"/>
  <c r="AD17" i="57"/>
  <c r="AD14" i="57" s="1"/>
  <c r="W28" i="57"/>
  <c r="AI39" i="57"/>
  <c r="F4" i="57"/>
  <c r="AE17" i="57"/>
  <c r="AE14" i="57" s="1"/>
  <c r="W33" i="57"/>
  <c r="AG17" i="57"/>
  <c r="AG14" i="57" s="1"/>
  <c r="AC17" i="57"/>
  <c r="AC14" i="57" s="1"/>
  <c r="AF17" i="57"/>
  <c r="B12" i="57" s="1"/>
  <c r="L12" i="57" s="1"/>
  <c r="AI20" i="57"/>
  <c r="AI59" i="57"/>
  <c r="AI19" i="57"/>
  <c r="Y17" i="57"/>
  <c r="Y14" i="57" s="1"/>
  <c r="AA17" i="57"/>
  <c r="AA14" i="57" s="1"/>
  <c r="AI61" i="57"/>
  <c r="AI74" i="57"/>
  <c r="AI60" i="57"/>
  <c r="W24" i="57"/>
  <c r="AI38" i="57"/>
  <c r="AI57" i="57"/>
  <c r="AI31" i="57"/>
  <c r="AI37" i="57"/>
  <c r="AI48" i="57"/>
  <c r="AI70" i="57"/>
  <c r="AI68" i="57" s="1"/>
  <c r="AI30" i="57"/>
  <c r="AI47" i="57"/>
  <c r="AI83" i="57"/>
  <c r="AI45" i="57"/>
  <c r="AI54" i="57"/>
  <c r="AI82" i="57"/>
  <c r="K11" i="57"/>
  <c r="AI35" i="57"/>
  <c r="AI53" i="57"/>
  <c r="AI67" i="57"/>
  <c r="AI66" i="57"/>
  <c r="G11" i="57"/>
  <c r="AI65" i="57"/>
  <c r="AI78" i="57"/>
  <c r="AI64" i="57"/>
  <c r="AI77" i="57"/>
  <c r="AI63" i="57"/>
  <c r="AI52" i="57"/>
  <c r="AI41" i="57"/>
  <c r="AI62" i="57"/>
  <c r="AI76" i="57"/>
  <c r="B11" i="57"/>
  <c r="C11" i="57"/>
  <c r="D11" i="57"/>
  <c r="E11" i="57"/>
  <c r="F11" i="57"/>
  <c r="W50" i="57"/>
  <c r="E4" i="57"/>
  <c r="H11" i="57"/>
  <c r="I11" i="57"/>
  <c r="AI26" i="57"/>
  <c r="AI24" i="57" s="1"/>
  <c r="J11" i="57"/>
  <c r="E5" i="57"/>
  <c r="AI28" i="57" l="1"/>
  <c r="AI17" i="57"/>
  <c r="AI80" i="57"/>
  <c r="AI50" i="57"/>
  <c r="AI43" i="57"/>
  <c r="AF14" i="57"/>
  <c r="AI72" i="57"/>
  <c r="AI33" i="57"/>
  <c r="W14" i="57"/>
  <c r="L11" i="57"/>
  <c r="M12" i="57" l="1"/>
  <c r="AI14" i="57"/>
  <c r="N17" i="38"/>
  <c r="F18" i="14" s="1"/>
  <c r="N23" i="38"/>
  <c r="G18" i="14" s="1"/>
  <c r="N11" i="38"/>
  <c r="E18" i="14" s="1"/>
  <c r="J8" i="54" l="1"/>
  <c r="F15" i="54" s="1"/>
  <c r="L8" i="54"/>
  <c r="D35" i="54" s="1"/>
  <c r="D13" i="47" l="1"/>
  <c r="E13" i="47"/>
  <c r="F13" i="47"/>
  <c r="G13" i="47"/>
  <c r="H13" i="47"/>
  <c r="I13" i="47"/>
  <c r="D14" i="47"/>
  <c r="E14" i="47"/>
  <c r="F14" i="47"/>
  <c r="G14" i="47"/>
  <c r="H14" i="47"/>
  <c r="I14" i="47"/>
  <c r="D15" i="47"/>
  <c r="E15" i="47"/>
  <c r="F15" i="47"/>
  <c r="G15" i="47"/>
  <c r="H15" i="47"/>
  <c r="I15" i="47"/>
  <c r="X35" i="54"/>
  <c r="AA41" i="54"/>
  <c r="AA46" i="54"/>
  <c r="T35" i="54"/>
  <c r="AE47" i="54"/>
  <c r="AB47" i="54"/>
  <c r="U47" i="54"/>
  <c r="S47" i="54"/>
  <c r="T47" i="54" s="1"/>
  <c r="R47" i="54"/>
  <c r="W46" i="54"/>
  <c r="Z46" i="54" s="1"/>
  <c r="V46" i="54"/>
  <c r="T46" i="54"/>
  <c r="AF45" i="54"/>
  <c r="AC45" i="54"/>
  <c r="AA45" i="54" s="1"/>
  <c r="W45" i="54"/>
  <c r="Z45" i="54" s="1"/>
  <c r="V45" i="54"/>
  <c r="T45" i="54"/>
  <c r="AF44" i="54"/>
  <c r="AC44" i="54"/>
  <c r="AA44" i="54" s="1"/>
  <c r="W44" i="54"/>
  <c r="X44" i="54" s="1"/>
  <c r="V44" i="54"/>
  <c r="T44" i="54"/>
  <c r="AF43" i="54"/>
  <c r="AC43" i="54"/>
  <c r="AA43" i="54" s="1"/>
  <c r="W43" i="54"/>
  <c r="Z43" i="54" s="1"/>
  <c r="V43" i="54"/>
  <c r="T43" i="54"/>
  <c r="AF42" i="54"/>
  <c r="AC42" i="54"/>
  <c r="AA42" i="54" s="1"/>
  <c r="W42" i="54"/>
  <c r="V42" i="54"/>
  <c r="T42" i="54"/>
  <c r="AF41" i="54"/>
  <c r="AC41" i="54"/>
  <c r="Z41" i="54"/>
  <c r="X41" i="54"/>
  <c r="V41" i="54"/>
  <c r="T41" i="54"/>
  <c r="AF40" i="54"/>
  <c r="AD40" i="54" s="1"/>
  <c r="Y40" i="54"/>
  <c r="Y47" i="54" s="1"/>
  <c r="X40" i="54"/>
  <c r="V40" i="54"/>
  <c r="T40" i="54"/>
  <c r="AF39" i="54"/>
  <c r="AD39" i="54" s="1"/>
  <c r="Y39" i="54"/>
  <c r="AC39" i="54" s="1"/>
  <c r="AA39" i="54" s="1"/>
  <c r="X39" i="54"/>
  <c r="V39" i="54"/>
  <c r="T39" i="54"/>
  <c r="AF38" i="54"/>
  <c r="AD38" i="54"/>
  <c r="AC38" i="54"/>
  <c r="AA38" i="54"/>
  <c r="Z38" i="54"/>
  <c r="X38" i="54"/>
  <c r="V38" i="54"/>
  <c r="T38" i="54"/>
  <c r="AF37" i="54"/>
  <c r="AD37" i="54"/>
  <c r="AC37" i="54"/>
  <c r="AA37" i="54"/>
  <c r="Z37" i="54"/>
  <c r="X37" i="54"/>
  <c r="V37" i="54"/>
  <c r="T37" i="54"/>
  <c r="AF36" i="54"/>
  <c r="AD36" i="54"/>
  <c r="AC36" i="54"/>
  <c r="AA36" i="54"/>
  <c r="Z36" i="54"/>
  <c r="X36" i="54"/>
  <c r="V36" i="54"/>
  <c r="T36" i="54"/>
  <c r="AF35" i="54"/>
  <c r="AD35" i="54"/>
  <c r="AC35" i="54"/>
  <c r="AA35" i="54" s="1"/>
  <c r="Z35" i="54"/>
  <c r="V35" i="54"/>
  <c r="V47" i="54" l="1"/>
  <c r="Z44" i="54"/>
  <c r="G9" i="14"/>
  <c r="G14" i="14" s="1"/>
  <c r="W47" i="54"/>
  <c r="X47" i="54" s="1"/>
  <c r="E9" i="14"/>
  <c r="E14" i="14" s="1"/>
  <c r="Z39" i="54"/>
  <c r="Z42" i="54"/>
  <c r="D9" i="14"/>
  <c r="F9" i="14"/>
  <c r="F14" i="14" s="1"/>
  <c r="X45" i="54"/>
  <c r="AF47" i="54"/>
  <c r="Z47" i="54"/>
  <c r="AC47" i="54"/>
  <c r="X46" i="54"/>
  <c r="X42" i="54"/>
  <c r="Z40" i="54"/>
  <c r="AC40" i="54"/>
  <c r="AA40" i="54" s="1"/>
  <c r="X43" i="54"/>
  <c r="D14" i="14" l="1"/>
  <c r="D15" i="14" s="1"/>
  <c r="F15" i="14"/>
  <c r="E26" i="14" s="1"/>
  <c r="F16" i="14"/>
  <c r="E15" i="14"/>
  <c r="D26" i="14" s="1"/>
  <c r="E16" i="14"/>
  <c r="D16" i="14" l="1"/>
  <c r="M33" i="47"/>
  <c r="M40" i="47"/>
  <c r="N40" i="47"/>
  <c r="M56" i="47"/>
  <c r="N56" i="47"/>
  <c r="N5" i="38" l="1"/>
  <c r="D18" i="14" s="1"/>
  <c r="C26" i="14" s="1"/>
  <c r="C18" i="14" l="1"/>
  <c r="D36" i="54"/>
  <c r="H14" i="54"/>
  <c r="D17" i="54" s="1"/>
  <c r="H17" i="54" s="1"/>
  <c r="D20" i="54" s="1"/>
  <c r="H20" i="54" s="1"/>
  <c r="E35" i="54"/>
  <c r="L20" i="54" l="1"/>
  <c r="E36" i="54"/>
  <c r="E38" i="54" s="1"/>
  <c r="F14" i="54"/>
  <c r="C111" i="51" l="1"/>
  <c r="I95" i="51"/>
  <c r="I94" i="51"/>
  <c r="I93" i="51" s="1"/>
  <c r="I92" i="51"/>
  <c r="AH90" i="51"/>
  <c r="AG90" i="51"/>
  <c r="AF90" i="51"/>
  <c r="AE90" i="51"/>
  <c r="AD90" i="51"/>
  <c r="I87" i="51"/>
  <c r="AD86" i="51"/>
  <c r="E84" i="51"/>
  <c r="F102" i="51" s="1"/>
  <c r="AN58" i="51"/>
  <c r="AM58" i="51"/>
  <c r="AL58" i="51"/>
  <c r="AK58" i="51"/>
  <c r="AJ58" i="51"/>
  <c r="AI58" i="51"/>
  <c r="AH58" i="51"/>
  <c r="AG58" i="51"/>
  <c r="AF58" i="51"/>
  <c r="AE58" i="51"/>
  <c r="N56" i="51"/>
  <c r="AN56" i="51" s="1"/>
  <c r="M56" i="51"/>
  <c r="L56" i="51"/>
  <c r="AL56" i="51" s="1"/>
  <c r="K56" i="51"/>
  <c r="AK56" i="51" s="1"/>
  <c r="J56" i="51"/>
  <c r="AJ56" i="51" s="1"/>
  <c r="I56" i="51"/>
  <c r="AI56" i="51" s="1"/>
  <c r="H56" i="51"/>
  <c r="AH56" i="51" s="1"/>
  <c r="G56" i="51"/>
  <c r="F56" i="51"/>
  <c r="E56" i="51"/>
  <c r="AN54" i="51"/>
  <c r="AM54" i="51"/>
  <c r="AL54" i="51"/>
  <c r="AK54" i="51"/>
  <c r="AJ54" i="51"/>
  <c r="AI54" i="51"/>
  <c r="AH54" i="51"/>
  <c r="AG54" i="51"/>
  <c r="AF54" i="51"/>
  <c r="AE54" i="51"/>
  <c r="AN48" i="51"/>
  <c r="AM48" i="51"/>
  <c r="J43" i="51"/>
  <c r="I43" i="51"/>
  <c r="H43" i="51"/>
  <c r="G43" i="51"/>
  <c r="F43" i="51"/>
  <c r="E43" i="51"/>
  <c r="AN41" i="51"/>
  <c r="AM41" i="51"/>
  <c r="AJ41" i="51"/>
  <c r="AI41" i="51"/>
  <c r="AH41" i="51"/>
  <c r="AG41" i="51"/>
  <c r="AE41" i="51"/>
  <c r="L41" i="51"/>
  <c r="AL41" i="51" s="1"/>
  <c r="K41" i="51"/>
  <c r="AK41" i="51" s="1"/>
  <c r="F41" i="51"/>
  <c r="AF41" i="51" s="1"/>
  <c r="N40" i="51"/>
  <c r="AN40" i="51" s="1"/>
  <c r="M40" i="51"/>
  <c r="AM40" i="51" s="1"/>
  <c r="L40" i="51"/>
  <c r="AL40" i="51" s="1"/>
  <c r="K40" i="51"/>
  <c r="AK40" i="51" s="1"/>
  <c r="J40" i="51"/>
  <c r="AJ40" i="51" s="1"/>
  <c r="I40" i="51"/>
  <c r="AI40" i="51" s="1"/>
  <c r="H40" i="51"/>
  <c r="AH40" i="51" s="1"/>
  <c r="G40" i="51"/>
  <c r="AG40" i="51" s="1"/>
  <c r="F40" i="51"/>
  <c r="AF40" i="51" s="1"/>
  <c r="E40" i="51"/>
  <c r="AE40" i="51" s="1"/>
  <c r="M33" i="51"/>
  <c r="K33" i="51"/>
  <c r="I33" i="51"/>
  <c r="G33" i="51"/>
  <c r="AD31" i="51"/>
  <c r="I31" i="51"/>
  <c r="N52" i="51" s="1"/>
  <c r="AN52" i="51" s="1"/>
  <c r="H31" i="51"/>
  <c r="L52" i="51" s="1"/>
  <c r="AL52" i="51" s="1"/>
  <c r="G31" i="51"/>
  <c r="J52" i="51" s="1"/>
  <c r="AJ52" i="51" s="1"/>
  <c r="F31" i="51"/>
  <c r="H52" i="51" s="1"/>
  <c r="AH52" i="51" s="1"/>
  <c r="E31" i="51"/>
  <c r="F52" i="51" s="1"/>
  <c r="AF52" i="51" s="1"/>
  <c r="AD30" i="51"/>
  <c r="I30" i="51"/>
  <c r="M52" i="51" s="1"/>
  <c r="AM52" i="51" s="1"/>
  <c r="H30" i="51"/>
  <c r="AH30" i="51" s="1"/>
  <c r="G30" i="51"/>
  <c r="I52" i="51" s="1"/>
  <c r="AI52" i="51" s="1"/>
  <c r="F30" i="51"/>
  <c r="G52" i="51" s="1"/>
  <c r="AG52" i="51" s="1"/>
  <c r="E30" i="51"/>
  <c r="E52" i="51" s="1"/>
  <c r="AE52" i="51" s="1"/>
  <c r="AD29" i="51"/>
  <c r="I29" i="51"/>
  <c r="N46" i="51" s="1"/>
  <c r="AN46" i="51" s="1"/>
  <c r="H29" i="51"/>
  <c r="AH29" i="51" s="1"/>
  <c r="G29" i="51"/>
  <c r="AG29" i="51" s="1"/>
  <c r="F29" i="51"/>
  <c r="AF29" i="51" s="1"/>
  <c r="E29" i="51"/>
  <c r="AE29" i="51" s="1"/>
  <c r="AD28" i="51"/>
  <c r="I28" i="51"/>
  <c r="M46" i="51" s="1"/>
  <c r="AM46" i="51" s="1"/>
  <c r="H28" i="51"/>
  <c r="AH28" i="51" s="1"/>
  <c r="G28" i="51"/>
  <c r="AG28" i="51" s="1"/>
  <c r="F28" i="51"/>
  <c r="AF28" i="51" s="1"/>
  <c r="E28" i="51"/>
  <c r="AE28" i="51" s="1"/>
  <c r="AD27" i="51"/>
  <c r="I27" i="51"/>
  <c r="H27" i="51"/>
  <c r="L38" i="51" s="1"/>
  <c r="AL38" i="51" s="1"/>
  <c r="G27" i="51"/>
  <c r="F27" i="51"/>
  <c r="AF27" i="51" s="1"/>
  <c r="E27" i="51"/>
  <c r="F38" i="51" s="1"/>
  <c r="AF38" i="51" s="1"/>
  <c r="AD26" i="51"/>
  <c r="I26" i="51"/>
  <c r="M38" i="51" s="1"/>
  <c r="AM38" i="51" s="1"/>
  <c r="H26" i="51"/>
  <c r="K38" i="51" s="1"/>
  <c r="AK38" i="51" s="1"/>
  <c r="G26" i="51"/>
  <c r="I38" i="51" s="1"/>
  <c r="AI38" i="51" s="1"/>
  <c r="F26" i="51"/>
  <c r="G38" i="51" s="1"/>
  <c r="AG38" i="51" s="1"/>
  <c r="E26" i="51"/>
  <c r="E38" i="51" s="1"/>
  <c r="AE38" i="51" s="1"/>
  <c r="AI25" i="51"/>
  <c r="AH25" i="51"/>
  <c r="AG25" i="51"/>
  <c r="AF25" i="51"/>
  <c r="AE25" i="51"/>
  <c r="AD25" i="51"/>
  <c r="AI24" i="51"/>
  <c r="AH24" i="51"/>
  <c r="AG24" i="51"/>
  <c r="AF24" i="51"/>
  <c r="AG23" i="51"/>
  <c r="AF23" i="51"/>
  <c r="AE23" i="51"/>
  <c r="AD23" i="51"/>
  <c r="AI23" i="51"/>
  <c r="AH23" i="51"/>
  <c r="AI22" i="51"/>
  <c r="AH22" i="51"/>
  <c r="AG22" i="51"/>
  <c r="AF22" i="51"/>
  <c r="AE22" i="51"/>
  <c r="I20" i="51"/>
  <c r="AI20" i="51" s="1"/>
  <c r="H20" i="51"/>
  <c r="N57" i="51" s="1"/>
  <c r="G20" i="51"/>
  <c r="F20" i="51"/>
  <c r="J57" i="51" s="1"/>
  <c r="E20" i="51"/>
  <c r="D20" i="51"/>
  <c r="F57" i="51" s="1"/>
  <c r="I19" i="51"/>
  <c r="AI19" i="51" s="1"/>
  <c r="H19" i="51"/>
  <c r="AH19" i="51" s="1"/>
  <c r="G19" i="51"/>
  <c r="F19" i="51"/>
  <c r="AF19" i="51" s="1"/>
  <c r="E19" i="51"/>
  <c r="D19" i="51"/>
  <c r="AD19" i="51" s="1"/>
  <c r="I18" i="51"/>
  <c r="AI18" i="51" s="1"/>
  <c r="H18" i="51"/>
  <c r="AH18" i="51" s="1"/>
  <c r="G18" i="51"/>
  <c r="AG18" i="51" s="1"/>
  <c r="F18" i="51"/>
  <c r="AF18" i="51" s="1"/>
  <c r="E18" i="51"/>
  <c r="AE18" i="51" s="1"/>
  <c r="D18" i="51"/>
  <c r="AD18" i="51" s="1"/>
  <c r="I17" i="51"/>
  <c r="AI17" i="51" s="1"/>
  <c r="H17" i="51"/>
  <c r="G17" i="51"/>
  <c r="F17" i="51"/>
  <c r="E17" i="51"/>
  <c r="D17" i="51"/>
  <c r="I16" i="51"/>
  <c r="AI16" i="51" s="1"/>
  <c r="H16" i="51"/>
  <c r="AH16" i="51" s="1"/>
  <c r="G16" i="51"/>
  <c r="AG16" i="51" s="1"/>
  <c r="F16" i="51"/>
  <c r="AF16" i="51" s="1"/>
  <c r="E16" i="51"/>
  <c r="AE16" i="51" s="1"/>
  <c r="D16" i="51"/>
  <c r="AD16" i="51" s="1"/>
  <c r="I15" i="51"/>
  <c r="AI15" i="51" s="1"/>
  <c r="H15" i="51"/>
  <c r="AH15" i="51" s="1"/>
  <c r="G15" i="51"/>
  <c r="AG15" i="51" s="1"/>
  <c r="F15" i="51"/>
  <c r="AF15" i="51" s="1"/>
  <c r="E15" i="51"/>
  <c r="AE15" i="51" s="1"/>
  <c r="D15" i="51"/>
  <c r="AD15" i="51" s="1"/>
  <c r="I14" i="51"/>
  <c r="AI14" i="51" s="1"/>
  <c r="H14" i="51"/>
  <c r="AH14" i="51" s="1"/>
  <c r="G14" i="51"/>
  <c r="AG14" i="51" s="1"/>
  <c r="F14" i="51"/>
  <c r="AF14" i="51" s="1"/>
  <c r="E14" i="51"/>
  <c r="AE14" i="51" s="1"/>
  <c r="D14" i="51"/>
  <c r="AD14" i="51" s="1"/>
  <c r="I13" i="51"/>
  <c r="AI13" i="51" s="1"/>
  <c r="H13" i="51"/>
  <c r="AH13" i="51" s="1"/>
  <c r="G13" i="51"/>
  <c r="AG13" i="51" s="1"/>
  <c r="F13" i="51"/>
  <c r="AF13" i="51" s="1"/>
  <c r="E13" i="51"/>
  <c r="AE13" i="51" s="1"/>
  <c r="D13" i="51"/>
  <c r="AD13" i="51" s="1"/>
  <c r="E70" i="51" l="1"/>
  <c r="AE70" i="51" s="1"/>
  <c r="G51" i="51"/>
  <c r="AG51" i="51" s="1"/>
  <c r="I39" i="51"/>
  <c r="AI39" i="51" s="1"/>
  <c r="G70" i="51"/>
  <c r="AG70" i="51" s="1"/>
  <c r="F73" i="51"/>
  <c r="AF73" i="51" s="1"/>
  <c r="I96" i="51"/>
  <c r="F70" i="51"/>
  <c r="AF70" i="51" s="1"/>
  <c r="J36" i="51"/>
  <c r="AJ36" i="51" s="1"/>
  <c r="H53" i="51"/>
  <c r="AH53" i="51" s="1"/>
  <c r="AF26" i="51"/>
  <c r="AF30" i="51"/>
  <c r="E50" i="51"/>
  <c r="AE50" i="51" s="1"/>
  <c r="AF17" i="51"/>
  <c r="J39" i="51"/>
  <c r="AJ39" i="51" s="1"/>
  <c r="AG56" i="51"/>
  <c r="E57" i="51"/>
  <c r="AE57" i="51" s="1"/>
  <c r="H73" i="51"/>
  <c r="AH73" i="51" s="1"/>
  <c r="AF20" i="51"/>
  <c r="M57" i="51"/>
  <c r="AM57" i="51" s="1"/>
  <c r="E39" i="51"/>
  <c r="AE39" i="51" s="1"/>
  <c r="M39" i="51"/>
  <c r="AM39" i="51" s="1"/>
  <c r="E37" i="51"/>
  <c r="AE37" i="51" s="1"/>
  <c r="N39" i="51"/>
  <c r="AN39" i="51" s="1"/>
  <c r="AE31" i="51"/>
  <c r="G81" i="51"/>
  <c r="G39" i="51"/>
  <c r="AG39" i="51" s="1"/>
  <c r="H39" i="51"/>
  <c r="AH39" i="51" s="1"/>
  <c r="L57" i="51"/>
  <c r="K57" i="51"/>
  <c r="AE27" i="51"/>
  <c r="AI31" i="51"/>
  <c r="H36" i="51"/>
  <c r="J38" i="51"/>
  <c r="AJ38" i="51" s="1"/>
  <c r="F39" i="51"/>
  <c r="AF39" i="51" s="1"/>
  <c r="G50" i="51"/>
  <c r="G73" i="51"/>
  <c r="AG73" i="51" s="1"/>
  <c r="G36" i="51"/>
  <c r="J51" i="51"/>
  <c r="AJ51" i="51" s="1"/>
  <c r="I37" i="51"/>
  <c r="AI37" i="51" s="1"/>
  <c r="I51" i="51"/>
  <c r="AI51" i="51" s="1"/>
  <c r="AE17" i="51"/>
  <c r="AE19" i="51"/>
  <c r="AG20" i="51"/>
  <c r="AE24" i="51"/>
  <c r="AH26" i="51"/>
  <c r="AG27" i="51"/>
  <c r="N38" i="51"/>
  <c r="AN38" i="51" s="1"/>
  <c r="K52" i="51"/>
  <c r="AK52" i="51" s="1"/>
  <c r="J50" i="51"/>
  <c r="I50" i="51"/>
  <c r="I36" i="51"/>
  <c r="K39" i="51"/>
  <c r="AK39" i="51" s="1"/>
  <c r="L39" i="51"/>
  <c r="AL39" i="51" s="1"/>
  <c r="L53" i="51"/>
  <c r="AL53" i="51" s="1"/>
  <c r="K53" i="51"/>
  <c r="AK53" i="51" s="1"/>
  <c r="H57" i="51"/>
  <c r="G57" i="51"/>
  <c r="AI27" i="51"/>
  <c r="F37" i="51"/>
  <c r="AF37" i="51" s="1"/>
  <c r="E73" i="51"/>
  <c r="AE73" i="51" s="1"/>
  <c r="AE56" i="51"/>
  <c r="I73" i="51"/>
  <c r="AI73" i="51" s="1"/>
  <c r="AM56" i="51"/>
  <c r="H81" i="51"/>
  <c r="AG17" i="51"/>
  <c r="AG19" i="51"/>
  <c r="AE20" i="51"/>
  <c r="AI29" i="51"/>
  <c r="AG31" i="51"/>
  <c r="F36" i="51"/>
  <c r="J37" i="51"/>
  <c r="AJ37" i="51" s="1"/>
  <c r="G53" i="51"/>
  <c r="AG53" i="51" s="1"/>
  <c r="AD17" i="51"/>
  <c r="AH17" i="51"/>
  <c r="J53" i="51"/>
  <c r="AJ53" i="51" s="1"/>
  <c r="I53" i="51"/>
  <c r="AI53" i="51" s="1"/>
  <c r="AJ57" i="51"/>
  <c r="J55" i="51"/>
  <c r="AD20" i="51"/>
  <c r="AH20" i="51"/>
  <c r="AD22" i="51"/>
  <c r="AD24" i="51"/>
  <c r="AG26" i="51"/>
  <c r="AH27" i="51"/>
  <c r="AI28" i="51"/>
  <c r="AG30" i="51"/>
  <c r="AH31" i="51"/>
  <c r="H38" i="51"/>
  <c r="AH38" i="51" s="1"/>
  <c r="H50" i="51"/>
  <c r="H51" i="51"/>
  <c r="AH51" i="51" s="1"/>
  <c r="G37" i="51"/>
  <c r="AG37" i="51" s="1"/>
  <c r="N47" i="51"/>
  <c r="AN47" i="51" s="1"/>
  <c r="F53" i="51"/>
  <c r="AF53" i="51" s="1"/>
  <c r="E53" i="51"/>
  <c r="AE53" i="51" s="1"/>
  <c r="N53" i="51"/>
  <c r="AN53" i="51" s="1"/>
  <c r="M53" i="51"/>
  <c r="AM53" i="51" s="1"/>
  <c r="AF57" i="51"/>
  <c r="F55" i="51"/>
  <c r="AN57" i="51"/>
  <c r="N55" i="51"/>
  <c r="AN55" i="51" s="1"/>
  <c r="F51" i="51"/>
  <c r="AF51" i="51" s="1"/>
  <c r="F50" i="51"/>
  <c r="AE26" i="51"/>
  <c r="AI26" i="51"/>
  <c r="AE30" i="51"/>
  <c r="AI30" i="51"/>
  <c r="AF31" i="51"/>
  <c r="E36" i="51"/>
  <c r="H37" i="51"/>
  <c r="AH37" i="51" s="1"/>
  <c r="M47" i="51"/>
  <c r="AM47" i="51" s="1"/>
  <c r="E51" i="51"/>
  <c r="AE51" i="51" s="1"/>
  <c r="I57" i="51"/>
  <c r="F78" i="51"/>
  <c r="AF56" i="51"/>
  <c r="E81" i="51"/>
  <c r="E78" i="51"/>
  <c r="F81" i="51"/>
  <c r="F84" i="51"/>
  <c r="I74" i="51" l="1"/>
  <c r="AI74" i="51" s="1"/>
  <c r="AG81" i="51"/>
  <c r="M55" i="51"/>
  <c r="AM55" i="51" s="1"/>
  <c r="AH81" i="51"/>
  <c r="E55" i="51"/>
  <c r="E72" i="51" s="1"/>
  <c r="AE72" i="51" s="1"/>
  <c r="E74" i="51"/>
  <c r="AE74" i="51" s="1"/>
  <c r="AF81" i="51"/>
  <c r="AE78" i="51"/>
  <c r="E91" i="51"/>
  <c r="G74" i="51"/>
  <c r="AG74" i="51" s="1"/>
  <c r="AI57" i="51"/>
  <c r="AE36" i="51"/>
  <c r="E35" i="51"/>
  <c r="H49" i="51"/>
  <c r="AH50" i="51"/>
  <c r="H108" i="51"/>
  <c r="AF36" i="51"/>
  <c r="F35" i="51"/>
  <c r="G55" i="51"/>
  <c r="F74" i="51"/>
  <c r="AF74" i="51" s="1"/>
  <c r="AG57" i="51"/>
  <c r="I49" i="51"/>
  <c r="AI50" i="51"/>
  <c r="AG50" i="51"/>
  <c r="G49" i="51"/>
  <c r="G102" i="51"/>
  <c r="G84" i="51"/>
  <c r="F94" i="51"/>
  <c r="AE81" i="51"/>
  <c r="E94" i="51"/>
  <c r="F82" i="51"/>
  <c r="H55" i="51"/>
  <c r="AH57" i="51"/>
  <c r="AJ50" i="51"/>
  <c r="J49" i="51"/>
  <c r="AF50" i="51"/>
  <c r="G108" i="51"/>
  <c r="F49" i="51"/>
  <c r="AF55" i="51"/>
  <c r="L50" i="51"/>
  <c r="L44" i="51"/>
  <c r="K44" i="51"/>
  <c r="K36" i="51"/>
  <c r="L36" i="51"/>
  <c r="K50" i="51"/>
  <c r="L51" i="51"/>
  <c r="AL51" i="51" s="1"/>
  <c r="K37" i="51"/>
  <c r="AK37" i="51" s="1"/>
  <c r="L45" i="51"/>
  <c r="L37" i="51"/>
  <c r="AL37" i="51" s="1"/>
  <c r="K51" i="51"/>
  <c r="AK51" i="51" s="1"/>
  <c r="K45" i="51"/>
  <c r="AG36" i="51"/>
  <c r="G35" i="51"/>
  <c r="H74" i="51"/>
  <c r="AH74" i="51" s="1"/>
  <c r="K55" i="51"/>
  <c r="G80" i="51" s="1"/>
  <c r="AG80" i="51" s="1"/>
  <c r="G82" i="51"/>
  <c r="AK57" i="51"/>
  <c r="J35" i="51"/>
  <c r="AF78" i="51"/>
  <c r="F91" i="51"/>
  <c r="AF91" i="51" s="1"/>
  <c r="E82" i="51"/>
  <c r="AJ55" i="51"/>
  <c r="E49" i="51"/>
  <c r="AI36" i="51"/>
  <c r="I35" i="51"/>
  <c r="I55" i="51"/>
  <c r="H35" i="51"/>
  <c r="AH36" i="51"/>
  <c r="L55" i="51"/>
  <c r="H82" i="51"/>
  <c r="AL57" i="51"/>
  <c r="G16" i="14" l="1"/>
  <c r="G15" i="14"/>
  <c r="F26" i="14" s="1"/>
  <c r="I72" i="51"/>
  <c r="AI72" i="51" s="1"/>
  <c r="AE55" i="51"/>
  <c r="AH82" i="51"/>
  <c r="F95" i="51"/>
  <c r="AF95" i="51" s="1"/>
  <c r="AG82" i="51"/>
  <c r="K43" i="51"/>
  <c r="G78" i="51" s="1"/>
  <c r="AF82" i="51"/>
  <c r="H80" i="51"/>
  <c r="AH80" i="51" s="1"/>
  <c r="AL55" i="51"/>
  <c r="F77" i="51"/>
  <c r="H59" i="51"/>
  <c r="AH59" i="51" s="1"/>
  <c r="AH35" i="51"/>
  <c r="E71" i="51"/>
  <c r="AE71" i="51" s="1"/>
  <c r="AE49" i="51"/>
  <c r="AK50" i="51"/>
  <c r="K49" i="51"/>
  <c r="G79" i="51" s="1"/>
  <c r="AJ49" i="51"/>
  <c r="F80" i="51"/>
  <c r="AF80" i="51" s="1"/>
  <c r="AH55" i="51"/>
  <c r="F72" i="51"/>
  <c r="AF72" i="51" s="1"/>
  <c r="AG55" i="51"/>
  <c r="G72" i="51"/>
  <c r="AG72" i="51" s="1"/>
  <c r="AI55" i="51"/>
  <c r="H72" i="51"/>
  <c r="AH72" i="51" s="1"/>
  <c r="AK55" i="51"/>
  <c r="AL36" i="51"/>
  <c r="L35" i="51"/>
  <c r="L43" i="51"/>
  <c r="E79" i="51"/>
  <c r="AF49" i="51"/>
  <c r="AF94" i="51"/>
  <c r="G71" i="51"/>
  <c r="AG71" i="51" s="1"/>
  <c r="AI49" i="51"/>
  <c r="F59" i="51"/>
  <c r="AF59" i="51" s="1"/>
  <c r="E77" i="51"/>
  <c r="AF35" i="51"/>
  <c r="F79" i="51"/>
  <c r="AH49" i="51"/>
  <c r="I59" i="51"/>
  <c r="AI59" i="51" s="1"/>
  <c r="AI35" i="51"/>
  <c r="G69" i="51"/>
  <c r="AG69" i="51" s="1"/>
  <c r="J59" i="51"/>
  <c r="AJ59" i="51" s="1"/>
  <c r="AJ35" i="51"/>
  <c r="N45" i="51"/>
  <c r="AN45" i="51" s="1"/>
  <c r="N51" i="51"/>
  <c r="AN51" i="51" s="1"/>
  <c r="M37" i="51"/>
  <c r="AM37" i="51" s="1"/>
  <c r="M51" i="51"/>
  <c r="AM51" i="51" s="1"/>
  <c r="M45" i="51"/>
  <c r="AM45" i="51" s="1"/>
  <c r="N37" i="51"/>
  <c r="AN37" i="51" s="1"/>
  <c r="N50" i="51"/>
  <c r="N44" i="51"/>
  <c r="M36" i="51"/>
  <c r="M50" i="51"/>
  <c r="N36" i="51"/>
  <c r="M44" i="51"/>
  <c r="L49" i="51"/>
  <c r="AL50" i="51"/>
  <c r="I108" i="51"/>
  <c r="AE94" i="51"/>
  <c r="H102" i="51"/>
  <c r="G94" i="51"/>
  <c r="G95" i="51"/>
  <c r="AG95" i="51" s="1"/>
  <c r="H84" i="51"/>
  <c r="F71" i="51"/>
  <c r="AF71" i="51" s="1"/>
  <c r="AG49" i="51"/>
  <c r="E69" i="51"/>
  <c r="AE69" i="51" s="1"/>
  <c r="E59" i="51"/>
  <c r="AE59" i="51" s="1"/>
  <c r="AE35" i="51"/>
  <c r="AE91" i="51"/>
  <c r="AE82" i="51"/>
  <c r="E95" i="51"/>
  <c r="F69" i="51"/>
  <c r="AF69" i="51" s="1"/>
  <c r="AG35" i="51"/>
  <c r="G59" i="51"/>
  <c r="AG59" i="51" s="1"/>
  <c r="AK36" i="51"/>
  <c r="K35" i="51"/>
  <c r="G77" i="51" s="1"/>
  <c r="E80" i="51"/>
  <c r="AE80" i="51" s="1"/>
  <c r="F93" i="51" l="1"/>
  <c r="AF93" i="51" s="1"/>
  <c r="J108" i="51"/>
  <c r="AG79" i="51"/>
  <c r="G92" i="51"/>
  <c r="AG92" i="51" s="1"/>
  <c r="AG77" i="51"/>
  <c r="G87" i="51"/>
  <c r="G89" i="51" s="1"/>
  <c r="AG89" i="51" s="1"/>
  <c r="AE95" i="51"/>
  <c r="AN36" i="51"/>
  <c r="N35" i="51"/>
  <c r="AN50" i="51"/>
  <c r="N49" i="51"/>
  <c r="AN49" i="51" s="1"/>
  <c r="AE77" i="51"/>
  <c r="E87" i="51"/>
  <c r="H94" i="51"/>
  <c r="D94" i="51" s="1"/>
  <c r="AD94" i="51" s="1"/>
  <c r="H95" i="51"/>
  <c r="AH95" i="51" s="1"/>
  <c r="I102" i="51"/>
  <c r="G93" i="51"/>
  <c r="AG93" i="51" s="1"/>
  <c r="AG94" i="51"/>
  <c r="AL49" i="51"/>
  <c r="M49" i="51"/>
  <c r="H79" i="51" s="1"/>
  <c r="AM50" i="51"/>
  <c r="L59" i="51"/>
  <c r="AL59" i="51" s="1"/>
  <c r="AL35" i="51"/>
  <c r="G91" i="51"/>
  <c r="AG78" i="51"/>
  <c r="AF77" i="51"/>
  <c r="F87" i="51"/>
  <c r="AM36" i="51"/>
  <c r="M35" i="51"/>
  <c r="AF79" i="51"/>
  <c r="F92" i="51"/>
  <c r="AF92" i="51" s="1"/>
  <c r="H70" i="51"/>
  <c r="AH70" i="51" s="1"/>
  <c r="H69" i="51"/>
  <c r="AH69" i="51" s="1"/>
  <c r="AK35" i="51"/>
  <c r="K59" i="51"/>
  <c r="AK59" i="51" s="1"/>
  <c r="E93" i="51"/>
  <c r="AM44" i="51"/>
  <c r="M43" i="51"/>
  <c r="AN44" i="51"/>
  <c r="N43" i="51"/>
  <c r="AN43" i="51" s="1"/>
  <c r="AE79" i="51"/>
  <c r="E92" i="51"/>
  <c r="H71" i="51"/>
  <c r="AH71" i="51" s="1"/>
  <c r="AK49" i="51"/>
  <c r="C104" i="51" l="1"/>
  <c r="AG87" i="51"/>
  <c r="G88" i="51"/>
  <c r="AG88" i="51" s="1"/>
  <c r="D95" i="51"/>
  <c r="AD95" i="51" s="1"/>
  <c r="AH79" i="51"/>
  <c r="H92" i="51"/>
  <c r="AH92" i="51" s="1"/>
  <c r="AE93" i="51"/>
  <c r="AE92" i="51"/>
  <c r="I70" i="51"/>
  <c r="AI70" i="51" s="1"/>
  <c r="AM43" i="51"/>
  <c r="I69" i="51"/>
  <c r="AI69" i="51" s="1"/>
  <c r="M59" i="51"/>
  <c r="AM59" i="51" s="1"/>
  <c r="AM35" i="51"/>
  <c r="H77" i="51"/>
  <c r="AH94" i="51"/>
  <c r="H93" i="51"/>
  <c r="AH93" i="51" s="1"/>
  <c r="AG91" i="51"/>
  <c r="H78" i="51"/>
  <c r="F96" i="51"/>
  <c r="AF96" i="51" s="1"/>
  <c r="AF87" i="51"/>
  <c r="F89" i="51"/>
  <c r="AF89" i="51" s="1"/>
  <c r="F88" i="51"/>
  <c r="AF88" i="51" s="1"/>
  <c r="I71" i="51"/>
  <c r="AI71" i="51" s="1"/>
  <c r="AM49" i="51"/>
  <c r="E88" i="51"/>
  <c r="E96" i="51"/>
  <c r="AE96" i="51" s="1"/>
  <c r="AE87" i="51"/>
  <c r="E89" i="51"/>
  <c r="N59" i="51"/>
  <c r="AN59" i="51" s="1"/>
  <c r="AN35" i="51"/>
  <c r="G96" i="51"/>
  <c r="AG96" i="51" s="1"/>
  <c r="D92" i="51" l="1"/>
  <c r="AD92" i="51" s="1"/>
  <c r="AE89" i="51"/>
  <c r="AE88" i="51"/>
  <c r="AH77" i="51"/>
  <c r="H87" i="51"/>
  <c r="D93" i="51"/>
  <c r="AD93" i="51" s="1"/>
  <c r="H91" i="51"/>
  <c r="AH78" i="51"/>
  <c r="C103" i="51" l="1"/>
  <c r="C105" i="51" s="1"/>
  <c r="AH91" i="51"/>
  <c r="D91" i="51"/>
  <c r="AD91" i="51" s="1"/>
  <c r="H88" i="51"/>
  <c r="AH87" i="51"/>
  <c r="H89" i="51"/>
  <c r="H96" i="51"/>
  <c r="AH96" i="51" s="1"/>
  <c r="D87" i="51"/>
  <c r="AD87" i="51" l="1"/>
  <c r="D96" i="51"/>
  <c r="AH88" i="51"/>
  <c r="D88" i="51"/>
  <c r="AD88" i="51" s="1"/>
  <c r="AH89" i="51"/>
  <c r="D89" i="51"/>
  <c r="AD89" i="51" s="1"/>
  <c r="AD96" i="51" l="1"/>
  <c r="Q99" i="51"/>
  <c r="D14" i="49" l="1"/>
  <c r="D15" i="49" s="1"/>
  <c r="C111" i="47" l="1"/>
  <c r="I95" i="47"/>
  <c r="I94" i="47"/>
  <c r="I93" i="47" s="1"/>
  <c r="I92" i="47"/>
  <c r="I87" i="47"/>
  <c r="E84" i="47"/>
  <c r="F102" i="47" s="1"/>
  <c r="I73" i="47"/>
  <c r="L56" i="47"/>
  <c r="K56" i="47"/>
  <c r="J56" i="47"/>
  <c r="I56" i="47"/>
  <c r="H56" i="47"/>
  <c r="G56" i="47"/>
  <c r="F56" i="47"/>
  <c r="E56" i="47"/>
  <c r="J43" i="47"/>
  <c r="I43" i="47"/>
  <c r="H43" i="47"/>
  <c r="G43" i="47"/>
  <c r="F43" i="47"/>
  <c r="E43" i="47"/>
  <c r="L41" i="47"/>
  <c r="K41" i="47"/>
  <c r="F41" i="47"/>
  <c r="L40" i="47"/>
  <c r="K40" i="47"/>
  <c r="J40" i="47"/>
  <c r="I40" i="47"/>
  <c r="H40" i="47"/>
  <c r="G40" i="47"/>
  <c r="F40" i="47"/>
  <c r="E40" i="47"/>
  <c r="K33" i="47"/>
  <c r="I33" i="47"/>
  <c r="G33" i="47"/>
  <c r="I31" i="47"/>
  <c r="N52" i="47" s="1"/>
  <c r="H31" i="47"/>
  <c r="L52" i="47" s="1"/>
  <c r="G31" i="47"/>
  <c r="J52" i="47" s="1"/>
  <c r="F31" i="47"/>
  <c r="H52" i="47" s="1"/>
  <c r="E31" i="47"/>
  <c r="F52" i="47" s="1"/>
  <c r="I30" i="47"/>
  <c r="M52" i="47" s="1"/>
  <c r="H30" i="47"/>
  <c r="K52" i="47" s="1"/>
  <c r="G30" i="47"/>
  <c r="I52" i="47" s="1"/>
  <c r="F30" i="47"/>
  <c r="G52" i="47" s="1"/>
  <c r="E30" i="47"/>
  <c r="E52" i="47" s="1"/>
  <c r="I29" i="47"/>
  <c r="N46" i="47" s="1"/>
  <c r="H29" i="47"/>
  <c r="G29" i="47"/>
  <c r="F29" i="47"/>
  <c r="E29" i="47"/>
  <c r="I28" i="47"/>
  <c r="M46" i="47" s="1"/>
  <c r="H28" i="47"/>
  <c r="G28" i="47"/>
  <c r="F28" i="47"/>
  <c r="E28" i="47"/>
  <c r="I27" i="47"/>
  <c r="N38" i="47" s="1"/>
  <c r="H27" i="47"/>
  <c r="L38" i="47" s="1"/>
  <c r="G27" i="47"/>
  <c r="F27" i="47"/>
  <c r="H38" i="47" s="1"/>
  <c r="E27" i="47"/>
  <c r="F38" i="47" s="1"/>
  <c r="I26" i="47"/>
  <c r="M38" i="47" s="1"/>
  <c r="H26" i="47"/>
  <c r="K38" i="47" s="1"/>
  <c r="G26" i="47"/>
  <c r="I38" i="47" s="1"/>
  <c r="F26" i="47"/>
  <c r="G38" i="47" s="1"/>
  <c r="E26" i="47"/>
  <c r="E38" i="47" s="1"/>
  <c r="I24" i="47"/>
  <c r="H24" i="47"/>
  <c r="G24" i="47"/>
  <c r="F24" i="47"/>
  <c r="E24" i="47"/>
  <c r="D24" i="47"/>
  <c r="I23" i="47"/>
  <c r="H23" i="47"/>
  <c r="I22" i="47"/>
  <c r="H22" i="47"/>
  <c r="G22" i="47"/>
  <c r="F22" i="47"/>
  <c r="E22" i="47"/>
  <c r="D22" i="47"/>
  <c r="I20" i="47"/>
  <c r="H20" i="47"/>
  <c r="G20" i="47"/>
  <c r="L57" i="47" s="1"/>
  <c r="F20" i="47"/>
  <c r="J57" i="47" s="1"/>
  <c r="E20" i="47"/>
  <c r="H57" i="47" s="1"/>
  <c r="D20" i="47"/>
  <c r="F57" i="47" s="1"/>
  <c r="I19" i="47"/>
  <c r="H19" i="47"/>
  <c r="G19" i="47"/>
  <c r="F19" i="47"/>
  <c r="E19" i="47"/>
  <c r="D19" i="47"/>
  <c r="I18" i="47"/>
  <c r="H18" i="47"/>
  <c r="G18" i="47"/>
  <c r="F18" i="47"/>
  <c r="E18" i="47"/>
  <c r="D18" i="47"/>
  <c r="I17" i="47"/>
  <c r="H17" i="47"/>
  <c r="G17" i="47"/>
  <c r="F17" i="47"/>
  <c r="E17" i="47"/>
  <c r="D17" i="47"/>
  <c r="I16" i="47"/>
  <c r="H16" i="47"/>
  <c r="G16" i="47"/>
  <c r="F16" i="47"/>
  <c r="E16" i="47"/>
  <c r="D16" i="47"/>
  <c r="F7" i="47"/>
  <c r="G7" i="47" s="1"/>
  <c r="H7" i="47" s="1"/>
  <c r="I7" i="47" s="1"/>
  <c r="E73" i="47" l="1"/>
  <c r="J53" i="47"/>
  <c r="H51" i="47"/>
  <c r="K39" i="47"/>
  <c r="N39" i="47"/>
  <c r="M39" i="47"/>
  <c r="M53" i="47"/>
  <c r="N53" i="47"/>
  <c r="N47" i="47"/>
  <c r="M47" i="47"/>
  <c r="N57" i="47"/>
  <c r="N55" i="47" s="1"/>
  <c r="M57" i="47"/>
  <c r="M55" i="47" s="1"/>
  <c r="E70" i="47"/>
  <c r="G70" i="47"/>
  <c r="L53" i="47"/>
  <c r="E39" i="47"/>
  <c r="E37" i="47"/>
  <c r="E78" i="47"/>
  <c r="E91" i="47" s="1"/>
  <c r="E81" i="47"/>
  <c r="M81" i="47" s="1"/>
  <c r="G81" i="47"/>
  <c r="F53" i="47"/>
  <c r="G39" i="47"/>
  <c r="H53" i="47"/>
  <c r="F50" i="47"/>
  <c r="G36" i="47"/>
  <c r="I39" i="47"/>
  <c r="F81" i="47"/>
  <c r="H81" i="47"/>
  <c r="J50" i="47"/>
  <c r="H36" i="47"/>
  <c r="G50" i="47"/>
  <c r="J39" i="47"/>
  <c r="F78" i="47"/>
  <c r="E51" i="47"/>
  <c r="D12" i="14"/>
  <c r="I37" i="47"/>
  <c r="F39" i="47"/>
  <c r="E53" i="47"/>
  <c r="I96" i="47"/>
  <c r="F37" i="47"/>
  <c r="I53" i="47"/>
  <c r="F73" i="47"/>
  <c r="H73" i="47"/>
  <c r="G57" i="47"/>
  <c r="E82" i="47" s="1"/>
  <c r="M82" i="47" s="1"/>
  <c r="F55" i="47"/>
  <c r="J55" i="47"/>
  <c r="H55" i="47"/>
  <c r="L55" i="47"/>
  <c r="K57" i="47"/>
  <c r="F70" i="47"/>
  <c r="G73" i="47"/>
  <c r="F36" i="47"/>
  <c r="H37" i="47"/>
  <c r="J38" i="47"/>
  <c r="H39" i="47"/>
  <c r="L39" i="47"/>
  <c r="E50" i="47"/>
  <c r="G51" i="47"/>
  <c r="G53" i="47"/>
  <c r="K53" i="47"/>
  <c r="E57" i="47"/>
  <c r="E74" i="47" s="1"/>
  <c r="I57" i="47"/>
  <c r="G74" i="47" s="1"/>
  <c r="E36" i="47"/>
  <c r="G37" i="47"/>
  <c r="H50" i="47"/>
  <c r="F51" i="47"/>
  <c r="F84" i="47"/>
  <c r="E12" i="14" s="1"/>
  <c r="I51" i="47"/>
  <c r="E112" i="46"/>
  <c r="E102" i="46"/>
  <c r="K13" i="46" s="1"/>
  <c r="E99" i="46"/>
  <c r="E94" i="46"/>
  <c r="I13" i="46" s="1"/>
  <c r="E89" i="46"/>
  <c r="K76" i="46"/>
  <c r="L14" i="46" s="1"/>
  <c r="E74" i="46"/>
  <c r="G13" i="46" s="1"/>
  <c r="K69" i="46"/>
  <c r="K14" i="46" s="1"/>
  <c r="K65" i="46"/>
  <c r="J14" i="46" s="1"/>
  <c r="K51" i="46"/>
  <c r="I14" i="46" s="1"/>
  <c r="K45" i="46"/>
  <c r="H14" i="46" s="1"/>
  <c r="E44" i="46"/>
  <c r="F13" i="46" s="1"/>
  <c r="K36" i="46"/>
  <c r="G14" i="46" s="1"/>
  <c r="E33" i="46"/>
  <c r="E13" i="46" s="1"/>
  <c r="K30" i="46"/>
  <c r="F14" i="46" s="1"/>
  <c r="K26" i="46"/>
  <c r="E14" i="46" s="1"/>
  <c r="E26" i="46"/>
  <c r="K24" i="46"/>
  <c r="K19" i="46"/>
  <c r="E19" i="46"/>
  <c r="C13" i="46" s="1"/>
  <c r="D14" i="46"/>
  <c r="L13" i="46"/>
  <c r="J13" i="46"/>
  <c r="H13" i="46"/>
  <c r="D13" i="46"/>
  <c r="E9" i="46"/>
  <c r="G9" i="46" s="1"/>
  <c r="E7" i="46"/>
  <c r="F7" i="46" s="1"/>
  <c r="C7" i="46"/>
  <c r="D7" i="46" s="1"/>
  <c r="K6" i="46"/>
  <c r="E6" i="46"/>
  <c r="F6" i="46" s="1"/>
  <c r="C6" i="46"/>
  <c r="K5" i="46"/>
  <c r="D5" i="46"/>
  <c r="E109" i="45"/>
  <c r="L13" i="45" s="1"/>
  <c r="E101" i="45"/>
  <c r="K13" i="45" s="1"/>
  <c r="E98" i="45"/>
  <c r="E93" i="45"/>
  <c r="I13" i="45" s="1"/>
  <c r="E88" i="45"/>
  <c r="H13" i="45" s="1"/>
  <c r="K76" i="45"/>
  <c r="L14" i="45" s="1"/>
  <c r="E73" i="45"/>
  <c r="G13" i="45" s="1"/>
  <c r="K69" i="45"/>
  <c r="K14" i="45" s="1"/>
  <c r="K65" i="45"/>
  <c r="J14" i="45" s="1"/>
  <c r="K51" i="45"/>
  <c r="I14" i="45" s="1"/>
  <c r="K45" i="45"/>
  <c r="H14" i="45" s="1"/>
  <c r="E43" i="45"/>
  <c r="F13" i="45" s="1"/>
  <c r="K36" i="45"/>
  <c r="G14" i="45" s="1"/>
  <c r="E33" i="45"/>
  <c r="E13" i="45" s="1"/>
  <c r="K30" i="45"/>
  <c r="F14" i="45" s="1"/>
  <c r="K26" i="45"/>
  <c r="E14" i="45" s="1"/>
  <c r="E26" i="45"/>
  <c r="K24" i="45"/>
  <c r="K19" i="45"/>
  <c r="C14" i="45" s="1"/>
  <c r="E19" i="45"/>
  <c r="C13" i="45" s="1"/>
  <c r="J13" i="45"/>
  <c r="G9" i="45"/>
  <c r="E9" i="45"/>
  <c r="E7" i="45"/>
  <c r="F7" i="45" s="1"/>
  <c r="C7" i="45"/>
  <c r="D7" i="45" s="1"/>
  <c r="K6" i="45"/>
  <c r="E6" i="45"/>
  <c r="F6" i="45" s="1"/>
  <c r="C6" i="45"/>
  <c r="K5" i="45"/>
  <c r="D5" i="45"/>
  <c r="E100" i="44"/>
  <c r="L14" i="44" s="1"/>
  <c r="E93" i="44"/>
  <c r="K14" i="44" s="1"/>
  <c r="E90" i="44"/>
  <c r="J14" i="44" s="1"/>
  <c r="E85" i="44"/>
  <c r="I14" i="44" s="1"/>
  <c r="E80" i="44"/>
  <c r="H14" i="44" s="1"/>
  <c r="K77" i="44"/>
  <c r="L15" i="44" s="1"/>
  <c r="K70" i="44"/>
  <c r="K15" i="44" s="1"/>
  <c r="E67" i="44"/>
  <c r="G14" i="44" s="1"/>
  <c r="K66" i="44"/>
  <c r="J15" i="44" s="1"/>
  <c r="K52" i="44"/>
  <c r="I15" i="44" s="1"/>
  <c r="K46" i="44"/>
  <c r="H15" i="44" s="1"/>
  <c r="E43" i="44"/>
  <c r="F14" i="44" s="1"/>
  <c r="K37" i="44"/>
  <c r="G15" i="44" s="1"/>
  <c r="E33" i="44"/>
  <c r="E14" i="44" s="1"/>
  <c r="K31" i="44"/>
  <c r="F15" i="44" s="1"/>
  <c r="K27" i="44"/>
  <c r="E15" i="44" s="1"/>
  <c r="E26" i="44"/>
  <c r="D14" i="44" s="1"/>
  <c r="K25" i="44"/>
  <c r="D15" i="44" s="1"/>
  <c r="K20" i="44"/>
  <c r="C15" i="44" s="1"/>
  <c r="E20" i="44"/>
  <c r="C14" i="44" s="1"/>
  <c r="G10" i="44"/>
  <c r="E10" i="44"/>
  <c r="E8" i="44"/>
  <c r="F8" i="44" s="1"/>
  <c r="C8" i="44"/>
  <c r="K7" i="44"/>
  <c r="E7" i="44"/>
  <c r="F7" i="44" s="1"/>
  <c r="C7" i="44"/>
  <c r="D7" i="44" s="1"/>
  <c r="K6" i="44"/>
  <c r="D6" i="44"/>
  <c r="E87" i="43"/>
  <c r="L13" i="43" s="1"/>
  <c r="E80" i="43"/>
  <c r="K13" i="43" s="1"/>
  <c r="E77" i="43"/>
  <c r="J13" i="43" s="1"/>
  <c r="K72" i="43"/>
  <c r="L14" i="43" s="1"/>
  <c r="E71" i="43"/>
  <c r="I13" i="43" s="1"/>
  <c r="K66" i="43"/>
  <c r="K14" i="43" s="1"/>
  <c r="E66" i="43"/>
  <c r="H13" i="43" s="1"/>
  <c r="K62" i="43"/>
  <c r="J14" i="43" s="1"/>
  <c r="E55" i="43"/>
  <c r="G13" i="43" s="1"/>
  <c r="K48" i="43"/>
  <c r="I14" i="43" s="1"/>
  <c r="K42" i="43"/>
  <c r="H14" i="43" s="1"/>
  <c r="E39" i="43"/>
  <c r="F13" i="43" s="1"/>
  <c r="K35" i="43"/>
  <c r="G14" i="43" s="1"/>
  <c r="E31" i="43"/>
  <c r="E13" i="43" s="1"/>
  <c r="K30" i="43"/>
  <c r="F14" i="43" s="1"/>
  <c r="K26" i="43"/>
  <c r="K24" i="43"/>
  <c r="D14" i="43" s="1"/>
  <c r="E24" i="43"/>
  <c r="D13" i="43" s="1"/>
  <c r="K19" i="43"/>
  <c r="C14" i="43" s="1"/>
  <c r="E19" i="43"/>
  <c r="C13" i="43" s="1"/>
  <c r="G9" i="43"/>
  <c r="E9" i="43"/>
  <c r="E7" i="43"/>
  <c r="F7" i="43" s="1"/>
  <c r="C7" i="43"/>
  <c r="K6" i="43"/>
  <c r="E6" i="43"/>
  <c r="F6" i="43" s="1"/>
  <c r="C6" i="43"/>
  <c r="D6" i="43" s="1"/>
  <c r="K5" i="43"/>
  <c r="D5" i="43"/>
  <c r="N14" i="45" l="1"/>
  <c r="E94" i="47"/>
  <c r="D14" i="45"/>
  <c r="I74" i="47"/>
  <c r="J37" i="47"/>
  <c r="E35" i="47"/>
  <c r="G108" i="47"/>
  <c r="K45" i="47"/>
  <c r="E49" i="47"/>
  <c r="H35" i="47"/>
  <c r="N13" i="45"/>
  <c r="N14" i="46"/>
  <c r="F74" i="47"/>
  <c r="N14" i="44"/>
  <c r="G35" i="47"/>
  <c r="F69" i="47" s="1"/>
  <c r="K50" i="47"/>
  <c r="G49" i="47"/>
  <c r="J36" i="47"/>
  <c r="N13" i="43"/>
  <c r="D13" i="45"/>
  <c r="M13" i="45" s="1"/>
  <c r="C14" i="46"/>
  <c r="N13" i="46"/>
  <c r="J51" i="47"/>
  <c r="J49" i="47" s="1"/>
  <c r="I36" i="47"/>
  <c r="I35" i="47" s="1"/>
  <c r="G55" i="47"/>
  <c r="E80" i="47" s="1"/>
  <c r="I50" i="47"/>
  <c r="H108" i="47" s="1"/>
  <c r="F35" i="47"/>
  <c r="E95" i="47"/>
  <c r="E93" i="47" s="1"/>
  <c r="N14" i="43"/>
  <c r="N15" i="44"/>
  <c r="M14" i="44"/>
  <c r="H49" i="47"/>
  <c r="H74" i="47"/>
  <c r="K55" i="47"/>
  <c r="H72" i="47" s="1"/>
  <c r="I72" i="47"/>
  <c r="F49" i="47"/>
  <c r="F82" i="47"/>
  <c r="F94" i="47"/>
  <c r="G102" i="47"/>
  <c r="G84" i="47"/>
  <c r="L36" i="47"/>
  <c r="I55" i="47"/>
  <c r="G72" i="47" s="1"/>
  <c r="E55" i="47"/>
  <c r="E72" i="47" s="1"/>
  <c r="F91" i="47"/>
  <c r="H82" i="47"/>
  <c r="F80" i="47"/>
  <c r="G82" i="47"/>
  <c r="G8" i="44"/>
  <c r="G7" i="43"/>
  <c r="D7" i="43"/>
  <c r="D8" i="44"/>
  <c r="M15" i="44"/>
  <c r="G7" i="45"/>
  <c r="M14" i="45"/>
  <c r="G7" i="46"/>
  <c r="M14" i="46"/>
  <c r="M13" i="43"/>
  <c r="E14" i="43"/>
  <c r="M14" i="43" s="1"/>
  <c r="G6" i="45"/>
  <c r="G6" i="46"/>
  <c r="M13" i="46"/>
  <c r="E5" i="46"/>
  <c r="F5" i="46" s="1"/>
  <c r="D6" i="46"/>
  <c r="E5" i="45"/>
  <c r="F5" i="45" s="1"/>
  <c r="D6" i="45"/>
  <c r="G7" i="44"/>
  <c r="E6" i="44"/>
  <c r="F6" i="44" s="1"/>
  <c r="G6" i="43"/>
  <c r="E5" i="43"/>
  <c r="F5" i="43" s="1"/>
  <c r="F59" i="47" l="1"/>
  <c r="F77" i="47"/>
  <c r="F87" i="47" s="1"/>
  <c r="G80" i="47"/>
  <c r="E77" i="47"/>
  <c r="E87" i="47" s="1"/>
  <c r="E69" i="47"/>
  <c r="K37" i="47"/>
  <c r="N37" i="47"/>
  <c r="N45" i="47"/>
  <c r="M51" i="47"/>
  <c r="N51" i="47"/>
  <c r="M37" i="47"/>
  <c r="M45" i="47"/>
  <c r="L44" i="47"/>
  <c r="J35" i="47"/>
  <c r="G69" i="47" s="1"/>
  <c r="L50" i="47"/>
  <c r="M72" i="47"/>
  <c r="F71" i="47"/>
  <c r="L37" i="47"/>
  <c r="L35" i="47" s="1"/>
  <c r="L45" i="47"/>
  <c r="K51" i="47"/>
  <c r="I108" i="47" s="1"/>
  <c r="L51" i="47"/>
  <c r="F72" i="47"/>
  <c r="K44" i="47"/>
  <c r="K43" i="47" s="1"/>
  <c r="G78" i="47" s="1"/>
  <c r="G91" i="47" s="1"/>
  <c r="K36" i="47"/>
  <c r="H59" i="47"/>
  <c r="I49" i="47"/>
  <c r="G71" i="47" s="1"/>
  <c r="G59" i="47"/>
  <c r="E79" i="47"/>
  <c r="E92" i="47" s="1"/>
  <c r="E96" i="47" s="1"/>
  <c r="F95" i="47"/>
  <c r="F93" i="47" s="1"/>
  <c r="H80" i="47"/>
  <c r="H84" i="47"/>
  <c r="G94" i="47"/>
  <c r="H102" i="47"/>
  <c r="G95" i="47"/>
  <c r="F89" i="47"/>
  <c r="F88" i="47"/>
  <c r="E88" i="47"/>
  <c r="E89" i="47"/>
  <c r="K35" i="47"/>
  <c r="E71" i="47"/>
  <c r="E59" i="47"/>
  <c r="A135" i="42"/>
  <c r="A134" i="42"/>
  <c r="A133" i="42"/>
  <c r="D132" i="42"/>
  <c r="C132" i="42"/>
  <c r="B132" i="42"/>
  <c r="A132" i="42"/>
  <c r="A131" i="42"/>
  <c r="E130" i="42"/>
  <c r="A130" i="42"/>
  <c r="C129" i="42"/>
  <c r="B129" i="42"/>
  <c r="A129" i="42"/>
  <c r="D127" i="42"/>
  <c r="C127" i="42"/>
  <c r="B127" i="42"/>
  <c r="A127" i="42"/>
  <c r="A126" i="42"/>
  <c r="E125" i="42"/>
  <c r="A125" i="42"/>
  <c r="C124" i="42"/>
  <c r="B124" i="42"/>
  <c r="A124" i="42"/>
  <c r="D122" i="42"/>
  <c r="C122" i="42"/>
  <c r="B122" i="42"/>
  <c r="A122" i="42"/>
  <c r="A121" i="42"/>
  <c r="E120" i="42"/>
  <c r="A120" i="42"/>
  <c r="C119" i="42"/>
  <c r="B119" i="42"/>
  <c r="A119" i="42"/>
  <c r="D117" i="42"/>
  <c r="C117" i="42"/>
  <c r="B117" i="42"/>
  <c r="A117" i="42"/>
  <c r="D116" i="42"/>
  <c r="C116" i="42"/>
  <c r="B116" i="42"/>
  <c r="A116" i="42"/>
  <c r="A115" i="42"/>
  <c r="E114" i="42"/>
  <c r="A114" i="42"/>
  <c r="C113" i="42"/>
  <c r="B113" i="42"/>
  <c r="A113" i="42"/>
  <c r="D111" i="42"/>
  <c r="C111" i="42"/>
  <c r="B111" i="42"/>
  <c r="A111" i="42"/>
  <c r="A110" i="42"/>
  <c r="E109" i="42"/>
  <c r="A109" i="42"/>
  <c r="C108" i="42"/>
  <c r="B108" i="42"/>
  <c r="A108" i="42"/>
  <c r="D106" i="42"/>
  <c r="C106" i="42"/>
  <c r="B106" i="42"/>
  <c r="A106" i="42"/>
  <c r="D105" i="42"/>
  <c r="C105" i="42"/>
  <c r="B105" i="42"/>
  <c r="A105" i="42"/>
  <c r="D104" i="42"/>
  <c r="C104" i="42"/>
  <c r="B104" i="42"/>
  <c r="A104" i="42"/>
  <c r="A103" i="42"/>
  <c r="E102" i="42"/>
  <c r="A102" i="42"/>
  <c r="C101" i="42"/>
  <c r="B101" i="42"/>
  <c r="A101" i="42"/>
  <c r="D99" i="42"/>
  <c r="C99" i="42"/>
  <c r="B99" i="42"/>
  <c r="A99" i="42"/>
  <c r="A98" i="42"/>
  <c r="E97" i="42"/>
  <c r="A97" i="42"/>
  <c r="C96" i="42"/>
  <c r="B96" i="42"/>
  <c r="A96" i="42"/>
  <c r="D94" i="42"/>
  <c r="C94" i="42"/>
  <c r="B94" i="42"/>
  <c r="A94" i="42"/>
  <c r="A93" i="42"/>
  <c r="E92" i="42"/>
  <c r="A92" i="42"/>
  <c r="C91" i="42"/>
  <c r="B91" i="42"/>
  <c r="A91" i="42"/>
  <c r="D89" i="42"/>
  <c r="C89" i="42"/>
  <c r="B89" i="42"/>
  <c r="A89" i="42"/>
  <c r="A88" i="42"/>
  <c r="E87" i="42"/>
  <c r="A87" i="42"/>
  <c r="C86" i="42"/>
  <c r="B86" i="42"/>
  <c r="A86" i="42"/>
  <c r="D84" i="42"/>
  <c r="C84" i="42"/>
  <c r="B84" i="42"/>
  <c r="A84" i="42"/>
  <c r="A83" i="42"/>
  <c r="E82" i="42"/>
  <c r="A82" i="42"/>
  <c r="C81" i="42"/>
  <c r="B81" i="42"/>
  <c r="A81" i="42"/>
  <c r="D79" i="42"/>
  <c r="C79" i="42"/>
  <c r="B79" i="42"/>
  <c r="A79" i="42"/>
  <c r="A78" i="42"/>
  <c r="E77" i="42"/>
  <c r="A77" i="42"/>
  <c r="C76" i="42"/>
  <c r="B76" i="42"/>
  <c r="A76" i="42"/>
  <c r="D74" i="42"/>
  <c r="C74" i="42"/>
  <c r="B74" i="42"/>
  <c r="A74" i="42"/>
  <c r="A73" i="42"/>
  <c r="E72" i="42"/>
  <c r="A72" i="42"/>
  <c r="C71" i="42"/>
  <c r="B71" i="42"/>
  <c r="A71" i="42"/>
  <c r="D69" i="42"/>
  <c r="C69" i="42"/>
  <c r="B69" i="42"/>
  <c r="A69" i="42"/>
  <c r="A68" i="42"/>
  <c r="E67" i="42"/>
  <c r="A67" i="42"/>
  <c r="C66" i="42"/>
  <c r="B66" i="42"/>
  <c r="A66" i="42"/>
  <c r="D64" i="42"/>
  <c r="C64" i="42"/>
  <c r="B64" i="42"/>
  <c r="A64" i="42"/>
  <c r="A63" i="42"/>
  <c r="A62" i="42"/>
  <c r="C61" i="42"/>
  <c r="B61" i="42"/>
  <c r="A61" i="42"/>
  <c r="D59" i="42"/>
  <c r="C59" i="42"/>
  <c r="B59" i="42"/>
  <c r="A59" i="42"/>
  <c r="A58" i="42"/>
  <c r="D55" i="42"/>
  <c r="C55" i="42"/>
  <c r="B55" i="42"/>
  <c r="A55" i="42"/>
  <c r="A54" i="42"/>
  <c r="A53" i="42"/>
  <c r="D50" i="42"/>
  <c r="C50" i="42"/>
  <c r="B50" i="42"/>
  <c r="A50" i="42"/>
  <c r="A49" i="42"/>
  <c r="A48" i="42"/>
  <c r="C45" i="42"/>
  <c r="B45" i="42"/>
  <c r="A45" i="42"/>
  <c r="C44" i="42"/>
  <c r="B44" i="42"/>
  <c r="A44" i="42"/>
  <c r="C43" i="42"/>
  <c r="B43" i="42"/>
  <c r="A43" i="42"/>
  <c r="A42" i="42"/>
  <c r="E41" i="42"/>
  <c r="C41" i="42"/>
  <c r="B41" i="42"/>
  <c r="A41" i="42"/>
  <c r="E40" i="42"/>
  <c r="C40" i="42"/>
  <c r="B40" i="42"/>
  <c r="A40" i="42"/>
  <c r="C39" i="42"/>
  <c r="B39" i="42"/>
  <c r="A39" i="42"/>
  <c r="D36" i="42"/>
  <c r="C36" i="42"/>
  <c r="B36" i="42"/>
  <c r="A36" i="42"/>
  <c r="A35" i="42"/>
  <c r="D31" i="42"/>
  <c r="C31" i="42"/>
  <c r="B31" i="42"/>
  <c r="A31" i="42"/>
  <c r="D30" i="42"/>
  <c r="C30" i="42"/>
  <c r="B30" i="42"/>
  <c r="A30" i="42"/>
  <c r="A29" i="42"/>
  <c r="E28" i="42"/>
  <c r="C28" i="42"/>
  <c r="B28" i="42"/>
  <c r="A28" i="42"/>
  <c r="E27" i="42"/>
  <c r="C27" i="42"/>
  <c r="B27" i="42"/>
  <c r="A27" i="42"/>
  <c r="E26" i="42"/>
  <c r="C26" i="42"/>
  <c r="B26" i="42"/>
  <c r="A26" i="42"/>
  <c r="E25" i="42"/>
  <c r="C25" i="42"/>
  <c r="B25" i="42"/>
  <c r="A25" i="42"/>
  <c r="E24" i="42"/>
  <c r="C24" i="42"/>
  <c r="B24" i="42"/>
  <c r="A24" i="42"/>
  <c r="A23" i="42"/>
  <c r="D21" i="42"/>
  <c r="C21" i="42"/>
  <c r="B21" i="42"/>
  <c r="A21" i="42"/>
  <c r="A20" i="42"/>
  <c r="A19" i="42"/>
  <c r="A18" i="42"/>
  <c r="D17" i="42"/>
  <c r="C17" i="42"/>
  <c r="B17" i="42"/>
  <c r="A17" i="42"/>
  <c r="A16" i="42"/>
  <c r="E15" i="42"/>
  <c r="C15" i="42"/>
  <c r="B15" i="42"/>
  <c r="A15" i="42"/>
  <c r="E14" i="42"/>
  <c r="C14" i="42"/>
  <c r="B14" i="42"/>
  <c r="A14" i="42"/>
  <c r="E13" i="42"/>
  <c r="C13" i="42"/>
  <c r="B13" i="42"/>
  <c r="A13" i="42"/>
  <c r="E12" i="42"/>
  <c r="C12" i="42"/>
  <c r="B12" i="42"/>
  <c r="A12" i="42"/>
  <c r="E11" i="42"/>
  <c r="C11" i="42"/>
  <c r="B11" i="42"/>
  <c r="A11" i="42"/>
  <c r="E10" i="42"/>
  <c r="C10" i="42"/>
  <c r="B10" i="42"/>
  <c r="A10" i="42"/>
  <c r="E9" i="42"/>
  <c r="C9" i="42"/>
  <c r="B9" i="42"/>
  <c r="A9" i="42"/>
  <c r="E8" i="42"/>
  <c r="C8" i="42"/>
  <c r="B8" i="42"/>
  <c r="A8" i="42"/>
  <c r="A7" i="42"/>
  <c r="L43" i="47" l="1"/>
  <c r="H70" i="47" s="1"/>
  <c r="I59" i="47"/>
  <c r="L49" i="47"/>
  <c r="L59" i="47" s="1"/>
  <c r="G77" i="47"/>
  <c r="G87" i="47" s="1"/>
  <c r="G89" i="47" s="1"/>
  <c r="N50" i="47"/>
  <c r="N49" i="47" s="1"/>
  <c r="M36" i="47"/>
  <c r="M35" i="47" s="1"/>
  <c r="M44" i="47"/>
  <c r="M43" i="47" s="1"/>
  <c r="N36" i="47"/>
  <c r="N35" i="47" s="1"/>
  <c r="N44" i="47"/>
  <c r="N43" i="47" s="1"/>
  <c r="M50" i="47"/>
  <c r="M49" i="47" s="1"/>
  <c r="J59" i="47"/>
  <c r="K49" i="47"/>
  <c r="G79" i="47" s="1"/>
  <c r="G92" i="47" s="1"/>
  <c r="F79" i="47"/>
  <c r="F92" i="47" s="1"/>
  <c r="F96" i="47" s="1"/>
  <c r="H77" i="47"/>
  <c r="H87" i="47" s="1"/>
  <c r="E133" i="42"/>
  <c r="H95" i="47"/>
  <c r="D95" i="47" s="1"/>
  <c r="H94" i="47"/>
  <c r="I102" i="47"/>
  <c r="H69" i="47"/>
  <c r="G93" i="47"/>
  <c r="D134" i="42"/>
  <c r="G88" i="47" l="1"/>
  <c r="N81" i="47"/>
  <c r="N82" i="47"/>
  <c r="O82" i="47" s="1"/>
  <c r="I71" i="47"/>
  <c r="J108" i="47"/>
  <c r="N59" i="47"/>
  <c r="D87" i="47"/>
  <c r="M59" i="47"/>
  <c r="H71" i="47"/>
  <c r="G96" i="47"/>
  <c r="C104" i="47"/>
  <c r="K59" i="47"/>
  <c r="H93" i="47"/>
  <c r="D93" i="47" s="1"/>
  <c r="I69" i="47"/>
  <c r="D94" i="47"/>
  <c r="H79" i="47"/>
  <c r="H92" i="47" s="1"/>
  <c r="D92" i="47" s="1"/>
  <c r="C103" i="47" s="1"/>
  <c r="C105" i="47" s="1"/>
  <c r="H89" i="47"/>
  <c r="D89" i="47" s="1"/>
  <c r="H88" i="47"/>
  <c r="I70" i="47"/>
  <c r="H78" i="47"/>
  <c r="H91" i="47" s="1"/>
  <c r="D91" i="47" s="1"/>
  <c r="D88" i="47" l="1"/>
  <c r="N83" i="47"/>
  <c r="O81" i="47"/>
  <c r="D96" i="47"/>
  <c r="H96" i="47"/>
  <c r="E13" i="14" l="1"/>
  <c r="D13" i="14" l="1"/>
  <c r="C9" i="14"/>
  <c r="C13" i="14" l="1"/>
  <c r="E137" i="42" l="1"/>
  <c r="C16" i="14"/>
  <c r="C15" i="14"/>
  <c r="C14" i="14" l="1"/>
  <c r="N6" i="38" l="1"/>
  <c r="D19" i="14" s="1"/>
  <c r="N24" i="38"/>
  <c r="G19" i="14" s="1"/>
  <c r="N18" i="38"/>
  <c r="F19" i="14" s="1"/>
  <c r="N12" i="38"/>
  <c r="E19" i="14" s="1"/>
  <c r="E27" i="14" l="1"/>
  <c r="C27" i="14"/>
  <c r="C19" i="14"/>
  <c r="D27" i="14"/>
  <c r="F27" i="14"/>
  <c r="F32" i="14" l="1"/>
  <c r="F33" i="14"/>
  <c r="C33" i="14"/>
  <c r="C32" i="14"/>
  <c r="D32" i="14"/>
  <c r="D33" i="14"/>
  <c r="E33" i="14"/>
  <c r="E32" i="14"/>
  <c r="E34" i="14" l="1"/>
  <c r="C34" i="14"/>
  <c r="D34" i="14"/>
  <c r="F3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hhernandez</author>
    <author>Harold Hernandez</author>
  </authors>
  <commentList>
    <comment ref="K4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hhernandez:</t>
        </r>
        <r>
          <rPr>
            <sz val="9"/>
            <color indexed="81"/>
            <rFont val="Tahoma"/>
            <family val="2"/>
          </rPr>
          <t xml:space="preserve">
Se auto abastece a partir de enero del año 2016, por medio de la C.T. Punta Rincón.</t>
        </r>
      </text>
    </comment>
    <comment ref="E8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hhernandez:</t>
        </r>
        <r>
          <rPr>
            <sz val="9"/>
            <color indexed="81"/>
            <rFont val="Tahoma"/>
            <family val="2"/>
          </rPr>
          <t xml:space="preserve">
Sólo se toma en cuenta el excedente que puediese inyectar al SIN.  No hace referencia a la Capacidad Instalada de la Central Térmica.</t>
        </r>
      </text>
    </comment>
    <comment ref="E9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Harold Hernandez:</t>
        </r>
        <r>
          <rPr>
            <sz val="9"/>
            <color indexed="81"/>
            <rFont val="Tahoma"/>
            <family val="2"/>
          </rPr>
          <t xml:space="preserve">
Considera a las unidades 1, 2, 5 y 6.  Las unidades 3 y 4 se retiraron el 31 de diciembre de 2013.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hhernandez</author>
    <author>Harold Hernandez</author>
  </authors>
  <commentList>
    <comment ref="K4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hhernandez:</t>
        </r>
        <r>
          <rPr>
            <sz val="9"/>
            <color indexed="81"/>
            <rFont val="Tahoma"/>
            <family val="2"/>
          </rPr>
          <t xml:space="preserve">
Se auto abastece a partir de enero del año 2016, por medio de la C.T. Punta Rincón.</t>
        </r>
      </text>
    </comment>
    <comment ref="E8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hhernandez:</t>
        </r>
        <r>
          <rPr>
            <sz val="9"/>
            <color indexed="81"/>
            <rFont val="Tahoma"/>
            <family val="2"/>
          </rPr>
          <t xml:space="preserve">
Sólo se toma en cuenta el excedente que puediese inyectar al SIN.  No hace referencia a la Capacidad Instalada de la Central Térmica.</t>
        </r>
      </text>
    </comment>
    <comment ref="E95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Harold Hernandez:</t>
        </r>
        <r>
          <rPr>
            <sz val="9"/>
            <color indexed="81"/>
            <rFont val="Tahoma"/>
            <family val="2"/>
          </rPr>
          <t xml:space="preserve">
Considera a las unidades 1, 2, 5 y 6.  Las unidades 3 y 4 se retiraron el 31 de diciembre de 2013.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Harold Hernandez</author>
  </authors>
  <commentList>
    <comment ref="E8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Harold Hernandez:</t>
        </r>
        <r>
          <rPr>
            <sz val="9"/>
            <color indexed="81"/>
            <rFont val="Tahoma"/>
            <family val="2"/>
          </rPr>
          <t xml:space="preserve">
Considera a las unidades 1, 2, 5 y 6.  Las unidades 3 y 4 se retiraron el 31 de diciembre de 2013.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Harold Hernandez</author>
  </authors>
  <commentList>
    <comment ref="E7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Harold Hernandez:</t>
        </r>
        <r>
          <rPr>
            <sz val="9"/>
            <color indexed="81"/>
            <rFont val="Tahoma"/>
            <family val="2"/>
          </rPr>
          <t xml:space="preserve">
Estas unidades se retirará en abril del año 2014, según el Plan Indicativo de Generación 2013.</t>
        </r>
      </text>
    </comment>
    <comment ref="E7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Harold Hernandez:</t>
        </r>
        <r>
          <rPr>
            <sz val="9"/>
            <color indexed="81"/>
            <rFont val="Tahoma"/>
            <family val="2"/>
          </rPr>
          <t xml:space="preserve">
Considera a las unidades 1, 2, 3, 4, 5 y 6.  Las unidades 3 y 4 se retirará el 31 de diciembre de 2013.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eperez</author>
  </authors>
  <commentList>
    <comment ref="H7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eperez:</t>
        </r>
        <r>
          <rPr>
            <sz val="9"/>
            <color indexed="81"/>
            <rFont val="Tahoma"/>
            <family val="2"/>
          </rPr>
          <t xml:space="preserve">
corresponde al mes de junio del año en el cual se hicieron los cálculos del imp y que fue aprobado
(para el periodo 2013-2017 se hicieron en 1er semestre del 2013).
No cambia durante las actualizaciones de los años 1,2,3,4 porque es la base del período 2013-2017
</t>
        </r>
      </text>
    </comment>
    <comment ref="L8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eperez:</t>
        </r>
        <r>
          <rPr>
            <sz val="9"/>
            <color indexed="81"/>
            <rFont val="Tahoma"/>
            <family val="2"/>
          </rPr>
          <t xml:space="preserve">
Corresponde al año base 2013 no cambia en las actualizaciones años 1,2,3,4, del perdíodo 2013-2017</t>
        </r>
      </text>
    </comment>
    <comment ref="H10" authorId="0" shapeId="0" xr:uid="{00000000-0006-0000-0A00-000003000000}">
      <text>
        <r>
          <rPr>
            <b/>
            <sz val="9"/>
            <color indexed="81"/>
            <rFont val="Tahoma"/>
            <family val="2"/>
          </rPr>
          <t>eperez:</t>
        </r>
        <r>
          <rPr>
            <sz val="9"/>
            <color indexed="81"/>
            <rFont val="Tahoma"/>
            <family val="2"/>
          </rPr>
          <t xml:space="preserve">
corresponde a la fecha en que será aplicado los resultados de la actualizacion. (en este caso se analiza para aplicar en julio/2014)</t>
        </r>
      </text>
    </comment>
    <comment ref="L11" authorId="0" shapeId="0" xr:uid="{00000000-0006-0000-0A00-000004000000}">
      <text>
        <r>
          <rPr>
            <b/>
            <sz val="9"/>
            <color indexed="81"/>
            <rFont val="Tahoma"/>
            <family val="2"/>
          </rPr>
          <t>eperez:</t>
        </r>
        <r>
          <rPr>
            <sz val="9"/>
            <color indexed="81"/>
            <rFont val="Tahoma"/>
            <family val="2"/>
          </rPr>
          <t xml:space="preserve">
Año de aplicación  (i) en este caso es el 2014
i-1 = 2013 menos (1) 
La base de datos en este caso es el 2013
i= 2014
  -1  =  2014-1=2013</t>
        </r>
      </text>
    </comment>
    <comment ref="F15" authorId="0" shapeId="0" xr:uid="{00000000-0006-0000-0A00-000005000000}">
      <text>
        <r>
          <rPr>
            <b/>
            <sz val="9"/>
            <color indexed="81"/>
            <rFont val="Tahoma"/>
            <family val="2"/>
          </rPr>
          <t>eperez:</t>
        </r>
        <r>
          <rPr>
            <sz val="9"/>
            <color indexed="81"/>
            <rFont val="Tahoma"/>
            <family val="2"/>
          </rPr>
          <t xml:space="preserve">
siempre el denominador es la base en este caso 2013 (INICIO DEL PERIODO TARIFARIO)
act. En el ultimo caso sera 2021(INICIO DEL PERIODO TARIFARIO)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F4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Los 456396,77 son los solicitados por ETESA en Nota ETE-DGC-GTA-010-2013 del 23 de Julio de 2013 por gastos 2009-2013.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Enrique Hernandez Cárdenas</author>
    <author>Marian del Carmen Evans</author>
  </authors>
  <commentList>
    <comment ref="T6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Enrique Hernandez Cárdenas:</t>
        </r>
        <r>
          <rPr>
            <sz val="9"/>
            <color indexed="81"/>
            <rFont val="Tahoma"/>
            <family val="2"/>
          </rPr>
          <t xml:space="preserve">
ES EL UNICO QUE SE P ONE EN VALORES DEBIDO A SU COMPONETE MIXTO DE DOS DISTRIBUIDORAS
</t>
        </r>
      </text>
    </comment>
    <comment ref="K153" authorId="1" shapeId="0" xr:uid="{00000000-0006-0000-0C00-000002000000}">
      <text>
        <r>
          <rPr>
            <b/>
            <sz val="9"/>
            <color indexed="81"/>
            <rFont val="Tahoma"/>
            <family val="2"/>
          </rPr>
          <t>Marian del Carmen Evans:</t>
        </r>
        <r>
          <rPr>
            <sz val="9"/>
            <color indexed="81"/>
            <rFont val="Tahoma"/>
            <family val="2"/>
          </rPr>
          <t xml:space="preserve">
cambio de capacidad de 57.85 a 97.7 por entrada de una nueva nave según nota de ACP a partir de enero 2022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S4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Los 456396,77 son los solicitados por ETESA en Nota ETE-DGC-GTA-010-2013 del 23 de Julio de 2013 por gastos 2009-2013.</t>
        </r>
      </text>
    </comment>
    <comment ref="AF41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Los 456396,77 son los solicitados por ETESA en Nota ETE-DGC-GTA-010-2013 del 23 de Julio de 2013 por gastos 2009-2013.</t>
        </r>
      </text>
    </comment>
  </commentList>
</comments>
</file>

<file path=xl/sharedStrings.xml><?xml version="1.0" encoding="utf-8"?>
<sst xmlns="http://schemas.openxmlformats.org/spreadsheetml/2006/main" count="2728" uniqueCount="888">
  <si>
    <t>Macho de Monte</t>
  </si>
  <si>
    <t>Dolega</t>
  </si>
  <si>
    <t>TOTAL</t>
  </si>
  <si>
    <t>EMPRESA DE TRANSMISIÓN ELÉCTRICA, S.A.</t>
  </si>
  <si>
    <t>Bayano</t>
  </si>
  <si>
    <t>La Yeguada</t>
  </si>
  <si>
    <t>CAPACIDAD INSTALADA Y DEMANDA MAXIMA NO COINCIDENTE (MW)</t>
  </si>
  <si>
    <t>Ingreso asignado a Generadores</t>
  </si>
  <si>
    <t>Capacidad Instalada Total por año tarifario</t>
  </si>
  <si>
    <t>Demanda Máxima No coincidente Total por año tarifario</t>
  </si>
  <si>
    <t>Agentes Consumidores</t>
  </si>
  <si>
    <t>Agentes Generadores</t>
  </si>
  <si>
    <t>Ingreso asignado a Consumidores</t>
  </si>
  <si>
    <t>CARGOS POR SERVICIO DE OPERACIÓN INTEGRADA (SOI)</t>
  </si>
  <si>
    <t>Bonyic</t>
  </si>
  <si>
    <t>Total</t>
  </si>
  <si>
    <t>Zona 1</t>
  </si>
  <si>
    <t>Zona 2</t>
  </si>
  <si>
    <t>Zona 3</t>
  </si>
  <si>
    <t>Zona 4</t>
  </si>
  <si>
    <t>Zona 5</t>
  </si>
  <si>
    <t>Zona 6</t>
  </si>
  <si>
    <t>Zona 7</t>
  </si>
  <si>
    <t>Zona 8</t>
  </si>
  <si>
    <t>Zona 9</t>
  </si>
  <si>
    <t>Zona 10</t>
  </si>
  <si>
    <t>Colón</t>
  </si>
  <si>
    <t>Bajo de Mina</t>
  </si>
  <si>
    <t>Fortuna</t>
  </si>
  <si>
    <t>Estí</t>
  </si>
  <si>
    <t>Los Valles</t>
  </si>
  <si>
    <t>Chitré</t>
  </si>
  <si>
    <t>Capira</t>
  </si>
  <si>
    <t>Pacora</t>
  </si>
  <si>
    <t>INGRESO PERMITIDO POR AÑO TARIFARIO</t>
  </si>
  <si>
    <t>EMPRESA DE TRANSMISIÓN ELÉCTRICA S.A.</t>
  </si>
  <si>
    <t xml:space="preserve">PARÁMETROS Y VALORES UTILIZADOS EN EL CÁLCULO DE LOS INGRESOS MÁXIMOS  PERMITIDOS </t>
  </si>
  <si>
    <t>PARAMETROS</t>
  </si>
  <si>
    <t>UNIDAD</t>
  </si>
  <si>
    <t>OMT</t>
  </si>
  <si>
    <t>%</t>
  </si>
  <si>
    <t>ADMT</t>
  </si>
  <si>
    <t>RRT</t>
  </si>
  <si>
    <t>ACTIVOS RECONOCIDOS (al final del año)</t>
  </si>
  <si>
    <t>ACTSPT (Sistema Principal)</t>
  </si>
  <si>
    <t>B/.MILES</t>
  </si>
  <si>
    <t>ACTCT(Conexión)</t>
  </si>
  <si>
    <t>ACTH (Hidrometeorología)</t>
  </si>
  <si>
    <t>ACTNSPT(Neto Sistema Principal)</t>
  </si>
  <si>
    <t>ACTNTC( Neto Conexión)</t>
  </si>
  <si>
    <t>ACTNH (Neto Hidromet.)</t>
  </si>
  <si>
    <t>ACTIVOS EFICIENTES (al final del año)</t>
  </si>
  <si>
    <t>ACTSPTef (Sistema Principal)</t>
  </si>
  <si>
    <t>ACTCTef (Conexión)</t>
  </si>
  <si>
    <t>ACTIVOS INCORPORADOS PARCIALMENTE</t>
  </si>
  <si>
    <t>-</t>
  </si>
  <si>
    <t xml:space="preserve"> INGRESOS MÁXIMOS PERMITIDOS</t>
  </si>
  <si>
    <t>PRINCIPAL</t>
  </si>
  <si>
    <t>Operación y Mantenimiento</t>
  </si>
  <si>
    <t>Administración</t>
  </si>
  <si>
    <t>Depreciación</t>
  </si>
  <si>
    <t>Rentabilidad sobre Activos</t>
  </si>
  <si>
    <t>CONEXIÓN</t>
  </si>
  <si>
    <t>SERVICIO DE OPERACIÓN INTEGRADA</t>
  </si>
  <si>
    <t>Hidrometeorología</t>
  </si>
  <si>
    <t>CÁLCULO DEL VPN DEL INGRESO PERMITIDO PARA EL PERIODO TARIFARIO</t>
  </si>
  <si>
    <t>RESUMEN</t>
  </si>
  <si>
    <t>Centro Nacional de Despacho (sin inversiones)</t>
  </si>
  <si>
    <t>2013-2014</t>
  </si>
  <si>
    <t xml:space="preserve">FACTOR DE ACTUALIZACIÓN </t>
  </si>
  <si>
    <t>VPN(2)</t>
  </si>
  <si>
    <t>Centro Nacional de Despacho</t>
  </si>
  <si>
    <t>Gualaca</t>
  </si>
  <si>
    <t>Lorena</t>
  </si>
  <si>
    <t>Prudencia</t>
  </si>
  <si>
    <t>Cochea</t>
  </si>
  <si>
    <t>Mendre</t>
  </si>
  <si>
    <t>Pedregalito</t>
  </si>
  <si>
    <t>Concepción</t>
  </si>
  <si>
    <t>Baitún</t>
  </si>
  <si>
    <t>Pando</t>
  </si>
  <si>
    <t>Monte Lirio</t>
  </si>
  <si>
    <t>El Alto</t>
  </si>
  <si>
    <t>Barro Blanco</t>
  </si>
  <si>
    <t>Paso Ancho</t>
  </si>
  <si>
    <t>Antón</t>
  </si>
  <si>
    <t>El Giral</t>
  </si>
  <si>
    <t>EDECHI</t>
  </si>
  <si>
    <t>Caldera 115-19</t>
  </si>
  <si>
    <t>Mega Depot</t>
  </si>
  <si>
    <t>DISTRIBUCION DE INGRESOS 50% CADA GRUPO</t>
  </si>
  <si>
    <t>INGRESO PERMITIDO POR SERVICIO DE OPERACIÓN INTEGRADA</t>
  </si>
  <si>
    <t>AÑOS TARIFARIOS</t>
  </si>
  <si>
    <t>(Miles de Balboas de Diciembre de 2012)</t>
  </si>
  <si>
    <t>ACTNSPT(Neto Sistema Principal) + PG</t>
  </si>
  <si>
    <t>ACTNH (Neto Hidro. Remanente)</t>
  </si>
  <si>
    <t>ACTIVOS EFICIENTES (al final del año - VNR)</t>
  </si>
  <si>
    <t>EQUIPAMIENTO PRINCIPAL</t>
  </si>
  <si>
    <t>Generación Obligada</t>
  </si>
  <si>
    <t>EQUIPAMIENTO ASOCIADO TOTALMENTE A  LA DEMANDA</t>
  </si>
  <si>
    <t>(Miles de Balboas de Dic 2012)</t>
  </si>
  <si>
    <r>
      <t>INGRESO ANUAL</t>
    </r>
    <r>
      <rPr>
        <sz val="10"/>
        <rFont val="Arial"/>
        <family val="2"/>
      </rPr>
      <t xml:space="preserve"> (Año Calendario)</t>
    </r>
  </si>
  <si>
    <t xml:space="preserve">Centro Nacional de Despacho </t>
  </si>
  <si>
    <r>
      <t>INGRESO ANUAL</t>
    </r>
    <r>
      <rPr>
        <sz val="10"/>
        <rFont val="Arial"/>
        <family val="2"/>
      </rPr>
      <t xml:space="preserve"> (Año Tarifario)(1)</t>
    </r>
  </si>
  <si>
    <t>2014-2015</t>
  </si>
  <si>
    <t>2015-2016</t>
  </si>
  <si>
    <t>2016-2017</t>
  </si>
  <si>
    <t>2017-2018</t>
  </si>
  <si>
    <t>230 kV</t>
  </si>
  <si>
    <t>115 kV</t>
  </si>
  <si>
    <t xml:space="preserve">230 kV </t>
  </si>
  <si>
    <r>
      <t>(1)</t>
    </r>
    <r>
      <rPr>
        <sz val="9"/>
        <rFont val="Arial"/>
        <family val="2"/>
      </rPr>
      <t xml:space="preserve">  El Año Tarifario comprende del 1º de julio al 30 de junio del año siguiente</t>
    </r>
  </si>
  <si>
    <t>(2)  Referido al 1º de julio de 2013</t>
  </si>
  <si>
    <t>Factores de actualización</t>
  </si>
  <si>
    <t>Jul13/Jun14</t>
  </si>
  <si>
    <t>Jul14/Jun15</t>
  </si>
  <si>
    <t>Jul15/Jun16</t>
  </si>
  <si>
    <t>Jul16/Jun17</t>
  </si>
  <si>
    <t>Sistema de conexión</t>
  </si>
  <si>
    <t>IPCT [Miles de B/.]</t>
  </si>
  <si>
    <t>IPCvnr [Miles de B/.]</t>
  </si>
  <si>
    <t>FA</t>
  </si>
  <si>
    <t>IPCvnri</t>
  </si>
  <si>
    <t>Año Tarifario:</t>
  </si>
  <si>
    <t>2013 - 2014</t>
  </si>
  <si>
    <t>IP SPT P  (k B/.)</t>
  </si>
  <si>
    <t>Longitud  (km)</t>
  </si>
  <si>
    <t>CU</t>
  </si>
  <si>
    <t>Total:</t>
  </si>
  <si>
    <t>(kB/./km)</t>
  </si>
  <si>
    <t>%ASIGP (G) =</t>
  </si>
  <si>
    <t>%ASIGP (D) =</t>
  </si>
  <si>
    <t xml:space="preserve">115 kV </t>
  </si>
  <si>
    <t>IP SPT D:</t>
  </si>
  <si>
    <t>(230 kV)</t>
  </si>
  <si>
    <t>MW</t>
  </si>
  <si>
    <t>Pinst (G)</t>
  </si>
  <si>
    <t>Pma (D)</t>
  </si>
  <si>
    <t>Capacidad Instalada Prevista  (MW)</t>
  </si>
  <si>
    <t>Demanda Máxima No Coincidente Prevista  (MW)</t>
  </si>
  <si>
    <t>Zona</t>
  </si>
  <si>
    <t>Nodo</t>
  </si>
  <si>
    <t>Mes de Ingreso</t>
  </si>
  <si>
    <t>Progreso T1 y T2</t>
  </si>
  <si>
    <t>San Andrés</t>
  </si>
  <si>
    <t>Charco Azul</t>
  </si>
  <si>
    <t>…</t>
  </si>
  <si>
    <t>La Estrella</t>
  </si>
  <si>
    <t>Mata Nance 34-9</t>
  </si>
  <si>
    <t>Mata Nance 34-10/11/15</t>
  </si>
  <si>
    <t>Mendre II</t>
  </si>
  <si>
    <t>EDEMET</t>
  </si>
  <si>
    <t>Los Algarrobos</t>
  </si>
  <si>
    <t>Llano Sánchez y El Higo</t>
  </si>
  <si>
    <t>GRANDES CLIENTES</t>
  </si>
  <si>
    <t>Super 99</t>
  </si>
  <si>
    <t>Hotel Bijao</t>
  </si>
  <si>
    <t>Macano</t>
  </si>
  <si>
    <t>Los Planetas</t>
  </si>
  <si>
    <t>Panamá Oeste</t>
  </si>
  <si>
    <t>Pedregalito II</t>
  </si>
  <si>
    <t>RP-490</t>
  </si>
  <si>
    <t>----</t>
  </si>
  <si>
    <t>Las Perlas Norte</t>
  </si>
  <si>
    <t>ENSA</t>
  </si>
  <si>
    <t>Las Perlas Sur</t>
  </si>
  <si>
    <t>Panamá</t>
  </si>
  <si>
    <t>6002/6004</t>
  </si>
  <si>
    <t>San Lorenzo</t>
  </si>
  <si>
    <t>Business Park</t>
  </si>
  <si>
    <t>CEMEX</t>
  </si>
  <si>
    <t>El Fraile</t>
  </si>
  <si>
    <t>La Huaca</t>
  </si>
  <si>
    <t>Ricamar</t>
  </si>
  <si>
    <t>Contraloría</t>
  </si>
  <si>
    <t>Sarigua</t>
  </si>
  <si>
    <t>General Mills</t>
  </si>
  <si>
    <t>Rosa de los Vientos</t>
  </si>
  <si>
    <t>Marañón</t>
  </si>
  <si>
    <t>Nuevo Chagres</t>
  </si>
  <si>
    <t>Portobelo</t>
  </si>
  <si>
    <t>Cañitas-Aserradero</t>
  </si>
  <si>
    <t>Panam</t>
  </si>
  <si>
    <t>6059/6060</t>
  </si>
  <si>
    <t>Cemento Panamá</t>
  </si>
  <si>
    <t>TG EGESA</t>
  </si>
  <si>
    <t>Bocas del Toro</t>
  </si>
  <si>
    <t>Miraflores (ACP)</t>
  </si>
  <si>
    <t>6120/6123</t>
  </si>
  <si>
    <t>PTP-Cañazas</t>
  </si>
  <si>
    <t>Miraflores G9 y G10</t>
  </si>
  <si>
    <t>Changuinola</t>
  </si>
  <si>
    <t>BLM Ciclo Combinado</t>
  </si>
  <si>
    <t>BLM Carbón</t>
  </si>
  <si>
    <t>Cativá</t>
  </si>
  <si>
    <t>Termo-Colón Ciclo Combinado</t>
  </si>
  <si>
    <t>2014 - 2015</t>
  </si>
  <si>
    <t>IP SPT P  (kB/.)</t>
  </si>
  <si>
    <t>Bajo Frío</t>
  </si>
  <si>
    <t>San Cristobal</t>
  </si>
  <si>
    <t>6009/6010</t>
  </si>
  <si>
    <t>El Síndigo</t>
  </si>
  <si>
    <t>Caldera</t>
  </si>
  <si>
    <t>MINERA PANAMA</t>
  </si>
  <si>
    <t>Petaquilla</t>
  </si>
  <si>
    <t>6002/6018</t>
  </si>
  <si>
    <t>Asturias</t>
  </si>
  <si>
    <t>Los Plantetas 2</t>
  </si>
  <si>
    <t>Santa María</t>
  </si>
  <si>
    <t>Cañazas</t>
  </si>
  <si>
    <t>Los Estrechos</t>
  </si>
  <si>
    <t>Tizingal</t>
  </si>
  <si>
    <t>Santa María 82</t>
  </si>
  <si>
    <t>Ojo de Agua</t>
  </si>
  <si>
    <t>6036/6018</t>
  </si>
  <si>
    <t>2015 - 2016</t>
  </si>
  <si>
    <t>Burica</t>
  </si>
  <si>
    <t>Bajo de Totuma</t>
  </si>
  <si>
    <t>Las Cruces</t>
  </si>
  <si>
    <t>San Bartolo</t>
  </si>
  <si>
    <t>La Laguna</t>
  </si>
  <si>
    <t>Chuspa</t>
  </si>
  <si>
    <t>Tabasará II</t>
  </si>
  <si>
    <t>La Palma</t>
  </si>
  <si>
    <t>Punta Rincón</t>
  </si>
  <si>
    <t>Río Piedra</t>
  </si>
  <si>
    <r>
      <rPr>
        <b/>
        <sz val="10"/>
        <color indexed="8"/>
        <rFont val="Times New Roman"/>
        <family val="1"/>
      </rPr>
      <t>* Energía Anual Estimada</t>
    </r>
    <r>
      <rPr>
        <sz val="10"/>
        <color indexed="8"/>
        <rFont val="Times New Roman"/>
        <family val="1"/>
      </rPr>
      <t xml:space="preserve"> (indicativo de demanda) [GWh] =</t>
    </r>
  </si>
  <si>
    <t>2016 - 2017</t>
  </si>
  <si>
    <t>Potrerillos</t>
  </si>
  <si>
    <t>Central de Carbón</t>
  </si>
  <si>
    <t>Telfers</t>
  </si>
  <si>
    <t>Capacidad instalada de generación (Pinst) y Demanda máxima no coincidente prevista anual (Pma) en MW por Zona</t>
  </si>
  <si>
    <t>CARGOS UNITARIOS SEGÚN TIPO DE AGENTES (B/./kW/mes)</t>
  </si>
  <si>
    <t>Tasa depreciación nuevas inversiones</t>
  </si>
  <si>
    <t>ACTSPT (Activo bruto Sistema Principal) +PG</t>
  </si>
  <si>
    <t>ACTSPTL(Activo bruto SP asignado a la Demanda. Solo parte de ETESA)</t>
  </si>
  <si>
    <t>ACTCT(Activo bruto Conexión)</t>
  </si>
  <si>
    <t>ACTH (Activo bruto Hidro. Remanente)</t>
  </si>
  <si>
    <t>ACTNSPTL(Neto Sistema Principal asignado Demanda)</t>
  </si>
  <si>
    <t>ACTSPTLef (Sistema Principal asignado a la demanda)</t>
  </si>
  <si>
    <t>ACTSPTef (Sistema Principal) (Primer Semestre)</t>
  </si>
  <si>
    <t>ACTSPTef (Sistema Principal) (Segundo Semestre)</t>
  </si>
  <si>
    <t>ACTSPTLef(Asignado a la demanda) (Primer Semestre)</t>
  </si>
  <si>
    <t>ACTSPTLef(Asignado a la demanda) (Segundo Semestre)</t>
  </si>
  <si>
    <t>Sem 1</t>
  </si>
  <si>
    <t>Sem 2</t>
  </si>
  <si>
    <t>Estudio PEST y por gestión de compra de potencia y energía</t>
  </si>
  <si>
    <t>Revisión tarifaria anterior</t>
  </si>
  <si>
    <t>RESUMEN DE CARGOS POR EL SERVICIO DE TRANSMISIÓN</t>
  </si>
  <si>
    <t>JULIO 2013 (CARGOS ACTUALIZADOS AÑO 4)</t>
  </si>
  <si>
    <t>EMPRESAS DISTRIBUIDORAS</t>
  </si>
  <si>
    <t>JULIO-DICIEMBRE</t>
  </si>
  <si>
    <t>EMPRESA DE DISTRIBUCIÓN ELÉCTRICA METRO OESTE, S.A. (EDEMET)</t>
  </si>
  <si>
    <t>Cantidad</t>
  </si>
  <si>
    <t xml:space="preserve">Cargos </t>
  </si>
  <si>
    <t>Débito-SOI</t>
  </si>
  <si>
    <t>Débito Cx</t>
  </si>
  <si>
    <t>EMPRESA DE DISTRIBUCIÓN ELÉCTRICA CHIRIQUÍ, S.A. (EDECHI)</t>
  </si>
  <si>
    <t>EMPRESAS GENERADORAS</t>
  </si>
  <si>
    <t xml:space="preserve">EMPRESA DE GENERACIÓN ELÉCTRICA ENEL FORTUNA, S.A. </t>
  </si>
  <si>
    <t>AES PANAMA, S.A. (AES)</t>
  </si>
  <si>
    <t>BAHIA LAS MINAS CORP. (BLM)</t>
  </si>
  <si>
    <t>PAN-AM GENERATING LIMITED. (PANAM)</t>
  </si>
  <si>
    <t>AUTORIDAD DEL CANAL DE PANAMÁ (ACP)</t>
  </si>
  <si>
    <r>
      <t xml:space="preserve">Capacidad instalada de generación </t>
    </r>
    <r>
      <rPr>
        <sz val="10"/>
        <color indexed="56"/>
        <rFont val="Times New Roman"/>
        <family val="1"/>
      </rPr>
      <t xml:space="preserve">(Pinst) y </t>
    </r>
    <r>
      <rPr>
        <b/>
        <sz val="10"/>
        <color indexed="56"/>
        <rFont val="Times New Roman"/>
        <family val="1"/>
      </rPr>
      <t>Demanda máxima no coincidente</t>
    </r>
    <r>
      <rPr>
        <sz val="10"/>
        <color indexed="56"/>
        <rFont val="Times New Roman"/>
        <family val="1"/>
      </rPr>
      <t xml:space="preserve"> prevista anual (Pma) en MW por Zona</t>
    </r>
  </si>
  <si>
    <t>Factor de Actualización</t>
  </si>
  <si>
    <t>Valor Presente del Ingreso Requerido</t>
  </si>
  <si>
    <r>
      <t xml:space="preserve">Valor Presente Neto del IMP </t>
    </r>
    <r>
      <rPr>
        <b/>
        <sz val="9"/>
        <rFont val="Arial"/>
        <family val="2"/>
      </rPr>
      <t>(Al 1 de julio de 2013)</t>
    </r>
  </si>
  <si>
    <t>(Miles de Balboas)</t>
  </si>
  <si>
    <t>IMP</t>
  </si>
  <si>
    <t>Julio-Dic/2013</t>
  </si>
  <si>
    <t>Enero</t>
  </si>
  <si>
    <t>Febrero</t>
  </si>
  <si>
    <t>Marzo</t>
  </si>
  <si>
    <t>Abril</t>
  </si>
  <si>
    <t>Mayo</t>
  </si>
  <si>
    <t>Junio</t>
  </si>
  <si>
    <t>Total-Ingreso</t>
  </si>
  <si>
    <t>Dif. Respecto</t>
  </si>
  <si>
    <t>a lo previsto</t>
  </si>
  <si>
    <t>IMP- Aprobado</t>
  </si>
  <si>
    <t>Ingreso Facturado</t>
  </si>
  <si>
    <t>% respecto lo presvisto</t>
  </si>
  <si>
    <t>Observación:</t>
  </si>
  <si>
    <t>Se facturó en el Año Tarifario No. 1 con cargos previstos el monto de B/.10,095,728.22</t>
  </si>
  <si>
    <t>Lo que marca una diferencia de los facturdo Vs lo previsto de 2% que representa B/.227,940.18</t>
  </si>
  <si>
    <t>INGRESO POR CARGOS DE SOI</t>
  </si>
  <si>
    <t>El ingreso por cargos SOI aprobado en el IMP 2013-2017 fue de B/.10,323,668.4</t>
  </si>
  <si>
    <t xml:space="preserve"> (4,246,685.46 50% soy y 50% Cx)</t>
  </si>
  <si>
    <t>Aprobado</t>
  </si>
  <si>
    <t xml:space="preserve"> a recupear en la hoja de Cargos SOI</t>
  </si>
  <si>
    <t>IMP APROBADO 2013-2017 Post Recur 7046</t>
  </si>
  <si>
    <t xml:space="preserve">DIFERENCIAS ENTRE IMP ACTUALIZADO VS IMP APROBADO </t>
  </si>
  <si>
    <t>FACTOR DE AJUSTE POR ÍNDICE DE PRECIOS AL CONSUMIDOR</t>
  </si>
  <si>
    <t>ACTUALIZACIÓN TARIFARIA: AÑO No. 2</t>
  </si>
  <si>
    <t>Fecha base de Cálculo:</t>
  </si>
  <si>
    <r>
      <t xml:space="preserve">IPC </t>
    </r>
    <r>
      <rPr>
        <b/>
        <vertAlign val="subscript"/>
        <sz val="10"/>
        <rFont val="Arial"/>
        <family val="2"/>
      </rPr>
      <t>0</t>
    </r>
  </si>
  <si>
    <t xml:space="preserve"> = </t>
  </si>
  <si>
    <r>
      <t xml:space="preserve">Índice de precios al Consumidor </t>
    </r>
    <r>
      <rPr>
        <b/>
        <sz val="10"/>
        <rFont val="Arial"/>
        <family val="2"/>
      </rPr>
      <t>a la fecha base de cálculo</t>
    </r>
  </si>
  <si>
    <t>Fecha de aplicación de ajuste</t>
  </si>
  <si>
    <r>
      <t xml:space="preserve">IPC </t>
    </r>
    <r>
      <rPr>
        <b/>
        <vertAlign val="subscript"/>
        <sz val="10"/>
        <rFont val="Arial"/>
        <family val="2"/>
      </rPr>
      <t>i</t>
    </r>
  </si>
  <si>
    <t>Índice de Precios al Consumidor a Diciembre n -1</t>
  </si>
  <si>
    <t>Factor de ajuste</t>
  </si>
  <si>
    <r>
      <t xml:space="preserve">IPC </t>
    </r>
    <r>
      <rPr>
        <vertAlign val="subscript"/>
        <sz val="10"/>
        <rFont val="Arial"/>
        <family val="2"/>
      </rPr>
      <t>i</t>
    </r>
  </si>
  <si>
    <r>
      <t xml:space="preserve">IPC </t>
    </r>
    <r>
      <rPr>
        <vertAlign val="subscript"/>
        <sz val="10"/>
        <rFont val="Arial"/>
        <family val="2"/>
      </rPr>
      <t>0</t>
    </r>
  </si>
  <si>
    <t>X</t>
  </si>
  <si>
    <t>+</t>
  </si>
  <si>
    <t>Crecimiento IPC</t>
  </si>
  <si>
    <t>Crecimiento</t>
  </si>
  <si>
    <t>AÑO TARIFARIO No. 2</t>
  </si>
  <si>
    <t>2021-2022</t>
  </si>
  <si>
    <t>Base=2013</t>
  </si>
  <si>
    <t>Base=2002</t>
  </si>
  <si>
    <t>Variación Porcentual 2017/2016</t>
  </si>
  <si>
    <t>Base=2018</t>
  </si>
  <si>
    <t>Variación Porcentual 2018/2017</t>
  </si>
  <si>
    <t>Base=2019</t>
  </si>
  <si>
    <t>Variación Porcentual 2018/2019</t>
  </si>
  <si>
    <t>Base=2020</t>
  </si>
  <si>
    <t>Variación Porcentual 2019/2020</t>
  </si>
  <si>
    <t>Base=2022</t>
  </si>
  <si>
    <t>Variación Porcentual 2021/2022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</si>
  <si>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</si>
  <si>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</si>
  <si>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</si>
  <si>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</si>
  <si>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</si>
  <si>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</si>
  <si>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</si>
  <si>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</si>
  <si>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</si>
  <si>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</si>
  <si>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</si>
  <si>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</si>
  <si>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 EXISTENTE TOTAL</t>
  </si>
  <si>
    <t>VPN</t>
  </si>
  <si>
    <t>VPN del IMP (Año Tarifario) (A comienzos del período tarifario)</t>
  </si>
  <si>
    <t>IPSPED. EXISTENTE. CONSTANTE</t>
  </si>
  <si>
    <t>IPSPED. EXISTENTE</t>
  </si>
  <si>
    <t>VNA</t>
  </si>
  <si>
    <t>Crédito por Restricción Tercera Línea</t>
  </si>
  <si>
    <t>Valores Expresados en Miles de Balboas</t>
  </si>
  <si>
    <t>ACTIVOS EXISTENTES (al final del año)</t>
  </si>
  <si>
    <t>ACTIVOS EFICIENTES (VNR)</t>
  </si>
  <si>
    <t>ACTNTC (Activo Neto Conexión)</t>
  </si>
  <si>
    <t>ACTCT (Activo bruto Conexión)</t>
  </si>
  <si>
    <t>ACTIVOS EXISTENTES (al final del año calendario)</t>
  </si>
  <si>
    <t>ACTIVOS RECONOCIDOS</t>
  </si>
  <si>
    <t>PERIODO (1° DE JULIO A DICIEMBRE 2021)</t>
  </si>
  <si>
    <t>AÑO TARIFARIO No. 1</t>
  </si>
  <si>
    <t>AÑO TARIFARIO No. 3</t>
  </si>
  <si>
    <t>AÑO TARIFARIO No. 4</t>
  </si>
  <si>
    <t>IPSPA: Nuevas Inversiones (por Estampilla Postal)</t>
  </si>
  <si>
    <t>IPSPEGyD  (k B/.)</t>
  </si>
  <si>
    <t>IPSPAGyD:</t>
  </si>
  <si>
    <t>(k B/.)</t>
  </si>
  <si>
    <r>
      <rPr>
        <b/>
        <i/>
        <sz val="10"/>
        <color indexed="63"/>
        <rFont val="Times New Roman"/>
        <family val="1"/>
      </rPr>
      <t>Energía Estimada</t>
    </r>
    <r>
      <rPr>
        <i/>
        <sz val="10"/>
        <color indexed="63"/>
        <rFont val="Times New Roman"/>
        <family val="1"/>
      </rPr>
      <t xml:space="preserve"> (indicativo demanda) =</t>
    </r>
  </si>
  <si>
    <t>(GWh)</t>
  </si>
  <si>
    <t>IPSPED (k B/.):</t>
  </si>
  <si>
    <t>IPSPAD:</t>
  </si>
  <si>
    <t>Generación =</t>
  </si>
  <si>
    <t>ZONA</t>
  </si>
  <si>
    <t xml:space="preserve">   Capacidad Instalada  (MW)</t>
  </si>
  <si>
    <t xml:space="preserve">   Demanda Máxima No Coincidente  (MW)</t>
  </si>
  <si>
    <t>max</t>
  </si>
  <si>
    <t>Progreso (34-41/42)</t>
  </si>
  <si>
    <t>La Potra</t>
  </si>
  <si>
    <t>Salsipuedes</t>
  </si>
  <si>
    <t xml:space="preserve">San Andrés </t>
  </si>
  <si>
    <t>Sol de David</t>
  </si>
  <si>
    <t>Solar Caldera</t>
  </si>
  <si>
    <t>PHOTOVOLTAICS INVESTMENTS</t>
  </si>
  <si>
    <t>PHOTOVOLTAICS DEVELOPMENTS</t>
  </si>
  <si>
    <t>Progreso Solar 20MW, S.A.</t>
  </si>
  <si>
    <t>Generadora Solar Austral, S.A.</t>
  </si>
  <si>
    <t>Parque fot Econer San Juan</t>
  </si>
  <si>
    <t>Progreso Energy</t>
  </si>
  <si>
    <t>Generadora Solar el Puerto, S.A.</t>
  </si>
  <si>
    <t xml:space="preserve">Mata Nance 34-10/11/15 </t>
  </si>
  <si>
    <t xml:space="preserve"> Agua FUERTE, S.A.</t>
  </si>
  <si>
    <t xml:space="preserve"> PHOTOVOLTAICS VENTURE CORP.</t>
  </si>
  <si>
    <t>S/E Chiriqui</t>
  </si>
  <si>
    <t>PHOTOVOLTAICS OPERATION CORP.</t>
  </si>
  <si>
    <t>Mata Nance 34-10/11/15 - S/E San Cristobal</t>
  </si>
  <si>
    <t>PHOTOVOLTAICS BUSINESS CORP.</t>
  </si>
  <si>
    <t>Varela (Fábrica de Pesé)</t>
  </si>
  <si>
    <t>sunstar</t>
  </si>
  <si>
    <t>Llano Sánchez - El Higo</t>
  </si>
  <si>
    <t>MINERA PANAMá</t>
  </si>
  <si>
    <t>Minera Panamá</t>
  </si>
  <si>
    <t>CELSOLAR, S.A.</t>
  </si>
  <si>
    <t>Cemento Interoceánico</t>
  </si>
  <si>
    <t>Panamá 2</t>
  </si>
  <si>
    <t>24 de Diciembre</t>
  </si>
  <si>
    <t>AVIPAC</t>
  </si>
  <si>
    <t>Embajada de Estados Unidos</t>
  </si>
  <si>
    <t>CSS (CHAAM)</t>
  </si>
  <si>
    <t>Varela (Cía. Panameña de Licores)</t>
  </si>
  <si>
    <t xml:space="preserve">Pando </t>
  </si>
  <si>
    <t>Bugaba I</t>
  </si>
  <si>
    <t>Bugaba II</t>
  </si>
  <si>
    <t>Bayano (Cañitas-Aserradero)</t>
  </si>
  <si>
    <t>Bajo del Totumo</t>
  </si>
  <si>
    <t>Los Planetas II</t>
  </si>
  <si>
    <t>Solar Chiriqui</t>
  </si>
  <si>
    <t xml:space="preserve">Las Cruces </t>
  </si>
  <si>
    <t>Solar Bugaba</t>
  </si>
  <si>
    <t>Argos Panamá, S.A.</t>
  </si>
  <si>
    <t>La Cuchilla</t>
  </si>
  <si>
    <t>ECO GROOVE INVESTMENT, INC.</t>
  </si>
  <si>
    <t>Gas Natural Atlántico</t>
  </si>
  <si>
    <t>SOLAR BOQUERON S.A.</t>
  </si>
  <si>
    <t>Tecnisol I, S.A.</t>
  </si>
  <si>
    <t>Tecnisol II, S.A.</t>
  </si>
  <si>
    <t>Tecnisol III, S.A.</t>
  </si>
  <si>
    <t>Tecnisol IV, S.A.</t>
  </si>
  <si>
    <t xml:space="preserve">OER (Changuinola) </t>
  </si>
  <si>
    <t>Caoba Solar</t>
  </si>
  <si>
    <t>Cedro Solar</t>
  </si>
  <si>
    <t>Central Azucarero de Alanje, S.A.</t>
  </si>
  <si>
    <t>Pedregalito I Unidad 4</t>
  </si>
  <si>
    <t>Pedregalito II  Unidad 3</t>
  </si>
  <si>
    <t>RP-550</t>
  </si>
  <si>
    <t>Andreas Power Energy, S.A</t>
  </si>
  <si>
    <t>ECOENER FOTOVOLTAICA PANAMA</t>
  </si>
  <si>
    <t>HP Solar, S.A.</t>
  </si>
  <si>
    <t xml:space="preserve"> ECOENER RENOVABLE PANAMA, S.A</t>
  </si>
  <si>
    <t>SOLAR DESIGN</t>
  </si>
  <si>
    <t>El Fraile Und 3</t>
  </si>
  <si>
    <t>Don Felix</t>
  </si>
  <si>
    <t>Don Felix Et2</t>
  </si>
  <si>
    <t>Solar Divisa</t>
  </si>
  <si>
    <t>Farrallon Solar</t>
  </si>
  <si>
    <t>Cocle Solar</t>
  </si>
  <si>
    <t>El Fraile Solar 1</t>
  </si>
  <si>
    <t>Solar Cocle</t>
  </si>
  <si>
    <t>Solar Paris</t>
  </si>
  <si>
    <t>Solar Los Angeles</t>
  </si>
  <si>
    <t>Sol Real</t>
  </si>
  <si>
    <t>El Espinal</t>
  </si>
  <si>
    <t>Vista Alegre</t>
  </si>
  <si>
    <t>Milton Solar</t>
  </si>
  <si>
    <t>Rosa de los vientos</t>
  </si>
  <si>
    <t>Nuevo Chagres 2</t>
  </si>
  <si>
    <t>Rosa de los Vientos Etapa II</t>
  </si>
  <si>
    <t>Pocri</t>
  </si>
  <si>
    <t>Estrella Solar</t>
  </si>
  <si>
    <t>PANASOLAR</t>
  </si>
  <si>
    <t>SOLAR DEVELOPMENT PANAMÁ</t>
  </si>
  <si>
    <t xml:space="preserve">Parque Solar Penonomé </t>
  </si>
  <si>
    <t>Mayorca Solar (AES)</t>
  </si>
  <si>
    <t>Solar Pesé (AES)</t>
  </si>
  <si>
    <t>Jagüito Solar 10 MW, S.A.</t>
  </si>
  <si>
    <t>Daconan Star Solar, S.A.</t>
  </si>
  <si>
    <t>Empresa de Generación Eléctrica, S.A.</t>
  </si>
  <si>
    <t>Parque eolico Toabre</t>
  </si>
  <si>
    <t>El Fraile II</t>
  </si>
  <si>
    <t>AES Panamá S.R.L</t>
  </si>
  <si>
    <t>ARGENTUM SOLAR S.A.</t>
  </si>
  <si>
    <t>Progresovidencia Solar 1, S.A.</t>
  </si>
  <si>
    <t>Farallón Solar 2, S.A.</t>
  </si>
  <si>
    <t>PANASOLAR GREEN ENERGY, CORP.</t>
  </si>
  <si>
    <t>PANASOLAR GREEN POWER, S.A.</t>
  </si>
  <si>
    <t>GED Gersol Uno, S.A.</t>
  </si>
  <si>
    <t>SOLAR ENERGY PARK ENTERPRISES, INC.</t>
  </si>
  <si>
    <t>ORO SOLAR, S.A.</t>
  </si>
  <si>
    <t>MEGA SOLAR POWER GENERATION, S.A.</t>
  </si>
  <si>
    <t xml:space="preserve"> MERCURIO SOLAR, S.A.</t>
  </si>
  <si>
    <t>SUNERGY, I S.A.</t>
  </si>
  <si>
    <t>Concepto Solar</t>
  </si>
  <si>
    <t>Electricidad Solar, S. A.</t>
  </si>
  <si>
    <t xml:space="preserve"> MASPV PANAMA INC.</t>
  </si>
  <si>
    <t>Miraflores</t>
  </si>
  <si>
    <t>URBALIA Cerro Patacon</t>
  </si>
  <si>
    <t>Generación Solar, S.A.</t>
  </si>
  <si>
    <t>Solpac Investment, S.A.</t>
  </si>
  <si>
    <t xml:space="preserve">BLM </t>
  </si>
  <si>
    <t>Costa Norte</t>
  </si>
  <si>
    <t>TROPITÉRMICA</t>
  </si>
  <si>
    <t>Sparkle Power, S. A.</t>
  </si>
  <si>
    <t>C.T. Gatún (antes Telfers)</t>
  </si>
  <si>
    <t xml:space="preserve">PARÁMETROS Y VALORES UTILIZADOS EN EL CÁLCULO DEL INGRESO MÁXIMO PERMITIDO </t>
  </si>
  <si>
    <t>PARÁMETROS IMP</t>
  </si>
  <si>
    <t>Factor Ajuste</t>
  </si>
  <si>
    <t xml:space="preserve">INGRESOS MÁXIMOS PERMITIDOS </t>
  </si>
  <si>
    <t>INGRESO ANUAL PERMITIDO EXISTENTE (Año Tarifario)</t>
  </si>
  <si>
    <t>INGRESO ANUAL PERMITIDO (Año Tarifario)</t>
  </si>
  <si>
    <t>SISTEMA PRINCIPAL Asignado a D - IPSPED. EXISTENTE</t>
  </si>
  <si>
    <t>SERVICIO DE OPERACIÓN INTEGRADA - Centro Nacional de Despacho</t>
  </si>
  <si>
    <t>SERVICIO DE OPERACIÓN INTEGRADA- Centro Nacional de Despacho</t>
  </si>
  <si>
    <t>Año Tarifario 1</t>
  </si>
  <si>
    <t>Año Tarifario 2</t>
  </si>
  <si>
    <t>Año Tarifario 3</t>
  </si>
  <si>
    <t>Año Tarifario 4</t>
  </si>
  <si>
    <t>GRANDES CLIENTES ENSA</t>
  </si>
  <si>
    <t>GRANDES CLIENTES EDEMET</t>
  </si>
  <si>
    <t>Miles de Balboas - 1° de julio de 2025</t>
  </si>
  <si>
    <t>Sistema Principal de Transmisión  asignado a la Generación</t>
  </si>
  <si>
    <t>Sistema Principal de Transmisión  asignado a la Demanda</t>
  </si>
  <si>
    <t>Sistema de Conexión</t>
  </si>
  <si>
    <t>Descuento Inversiones no ejecutadas</t>
  </si>
  <si>
    <t>Servicio de Operación Integrada (SOI)</t>
  </si>
  <si>
    <t>jul25-jun26</t>
  </si>
  <si>
    <t>jul26-jun27</t>
  </si>
  <si>
    <t>jul27-jun28</t>
  </si>
  <si>
    <t>jul28-jun29</t>
  </si>
  <si>
    <t>IPSPEG. EXISTENTE</t>
  </si>
  <si>
    <t>IPSPEG. EXISTENTE. CONSTANTE</t>
  </si>
  <si>
    <t>SISTEMA PRINCIPAL Asignado a G - IPSPEG. EXISTENTE</t>
  </si>
  <si>
    <t>(Miles de Balboas a precios del año 2025)</t>
  </si>
  <si>
    <t xml:space="preserve">   Demanda Máxima No Coincidente Prevista (MW)</t>
  </si>
  <si>
    <t>1/julio/2025-30/junio/2026</t>
  </si>
  <si>
    <t>1/julio/2026-30/junio/2027</t>
  </si>
  <si>
    <t>1/julio/2027-30/junio/2028</t>
  </si>
  <si>
    <t>1/julio/2028-30/junio/2029</t>
  </si>
  <si>
    <t>Gold Mills</t>
  </si>
  <si>
    <t>Total de Demanda Máxima No Coincidente</t>
  </si>
  <si>
    <t>AGENTES DE MERCADO</t>
  </si>
  <si>
    <t>ESTRUCTURA PORCENTUAL DE LOS CARGOS UNITARIOS SEGÚN TIPO DE AGENTES (B/./kW/mes)</t>
  </si>
  <si>
    <t>PLIEGO TARIFARIO ANEXO B</t>
  </si>
  <si>
    <t>NOMBRE DE LA GENERADORA</t>
  </si>
  <si>
    <t>AÑO TARIFARIO 1</t>
  </si>
  <si>
    <t>AÑO TARIFARIO 2</t>
  </si>
  <si>
    <t>AÑO TARIFARIO 3</t>
  </si>
  <si>
    <t>AÑO TARIFARIO 4</t>
  </si>
  <si>
    <t>1/JUL/2025-30/JUN/2026</t>
  </si>
  <si>
    <t>1/JUL/2026-30/JUN/2027</t>
  </si>
  <si>
    <t>1/JUL/2027-30/JUN/2028</t>
  </si>
  <si>
    <t>1/JUL/2028-30/JUN/2029</t>
  </si>
  <si>
    <t>FECHA DE ENTRADA</t>
  </si>
  <si>
    <t>ZONA 1</t>
  </si>
  <si>
    <t>GENERACIÓN</t>
  </si>
  <si>
    <t>***BAITÚN</t>
  </si>
  <si>
    <t>HÍDRICA</t>
  </si>
  <si>
    <t>***BAJO DE MINA</t>
  </si>
  <si>
    <t>***LA POTRA</t>
  </si>
  <si>
    <t>***SALSIPUEDES</t>
  </si>
  <si>
    <t xml:space="preserve">***SAN ANDRÉS </t>
  </si>
  <si>
    <t xml:space="preserve">*SOL DE DAVID </t>
  </si>
  <si>
    <t>FOTOVOLTÁICA</t>
  </si>
  <si>
    <t xml:space="preserve">*SOLAR CALDERA </t>
  </si>
  <si>
    <t>*MADRE VIEJA SOLAR</t>
  </si>
  <si>
    <t>*BACO SOLAR</t>
  </si>
  <si>
    <t>*PLANTA DE GENERACIÓN ECOSOLAR</t>
  </si>
  <si>
    <t>*PLANTA DE GENERACIÓN FOTOVOLTAICA ECOSOLAR 2</t>
  </si>
  <si>
    <t>*ECOSOLAR 3</t>
  </si>
  <si>
    <t>*ECOSOLAR 4</t>
  </si>
  <si>
    <t>*ECOSOLAR 5</t>
  </si>
  <si>
    <t>*LA ESPERANZA SOLAR 20MW</t>
  </si>
  <si>
    <t>*ESTI SOLAR 2</t>
  </si>
  <si>
    <t>ZONA 2</t>
  </si>
  <si>
    <t>***FORTUNA</t>
  </si>
  <si>
    <t xml:space="preserve">***ESTÍ </t>
  </si>
  <si>
    <t>***LORENA</t>
  </si>
  <si>
    <t>***PRUDENCIA</t>
  </si>
  <si>
    <t>*PARQUE SOLAR  PRUDENCIA</t>
  </si>
  <si>
    <t>ZONA 3</t>
  </si>
  <si>
    <t>***LA ESTRELLA</t>
  </si>
  <si>
    <t>***LOS VALLES</t>
  </si>
  <si>
    <t>***MENDRE</t>
  </si>
  <si>
    <t>***COCHEA</t>
  </si>
  <si>
    <t>***ALGARROBOS</t>
  </si>
  <si>
    <t xml:space="preserve">***MENDRE II </t>
  </si>
  <si>
    <t xml:space="preserve">*PROYECTO SOLAR UP2  </t>
  </si>
  <si>
    <t xml:space="preserve">*CENTRAL FOTOVOLTÁICA UP3 </t>
  </si>
  <si>
    <t xml:space="preserve">*CENTRAL FOTOVOLTAICA UP4 </t>
  </si>
  <si>
    <t>ZONA 4</t>
  </si>
  <si>
    <t>***CONCEPCIÓN</t>
  </si>
  <si>
    <t xml:space="preserve">***PASO ANCHO </t>
  </si>
  <si>
    <t>*** LOS PLANETAS (E)</t>
  </si>
  <si>
    <t xml:space="preserve">***PEDREGALITO + PEDREGALITO I UNIDAD 4 </t>
  </si>
  <si>
    <t xml:space="preserve">***PEDREGALITO II + PEDREGALITO II UNIDAD 3 </t>
  </si>
  <si>
    <t>***RP-490</t>
  </si>
  <si>
    <t>***MACHO DE MONTE  (E)</t>
  </si>
  <si>
    <t>***DOLEGA  (E)</t>
  </si>
  <si>
    <t>***LAS PERLAS NORTE</t>
  </si>
  <si>
    <t>***LAS PERLAS SUR</t>
  </si>
  <si>
    <t>***MONTE LIRIO</t>
  </si>
  <si>
    <t xml:space="preserve">***PANDO </t>
  </si>
  <si>
    <t xml:space="preserve">***BUGABA I </t>
  </si>
  <si>
    <t xml:space="preserve">***BUGABA II  </t>
  </si>
  <si>
    <t>***EL ALTO</t>
  </si>
  <si>
    <t xml:space="preserve">***BAJO DEL TOTUMO  </t>
  </si>
  <si>
    <t xml:space="preserve">***LOS PLANETAS II </t>
  </si>
  <si>
    <t xml:space="preserve">*SOLAR CHIRIQUÍ  </t>
  </si>
  <si>
    <t xml:space="preserve">***LAS CRUCES </t>
  </si>
  <si>
    <t>*SOLAR BUGABA  (E)</t>
  </si>
  <si>
    <t xml:space="preserve">***LA CUCHILLA  </t>
  </si>
  <si>
    <t>* IKAKO</t>
  </si>
  <si>
    <t>*IKAKO I</t>
  </si>
  <si>
    <t>* IKAKO II</t>
  </si>
  <si>
    <t>* IKAKO III</t>
  </si>
  <si>
    <t xml:space="preserve">*CAOBA SOLAR  </t>
  </si>
  <si>
    <t xml:space="preserve">*CEDRO SOLAR  </t>
  </si>
  <si>
    <t>****AUTO GENERADOR CADASA</t>
  </si>
  <si>
    <t>TÉRMICA</t>
  </si>
  <si>
    <t>*LAS LOMAS SOLAR</t>
  </si>
  <si>
    <t xml:space="preserve">*COROTU SOLAR </t>
  </si>
  <si>
    <t>***BARRO BLANCO</t>
  </si>
  <si>
    <t>*ANDREAS POWER (E)</t>
  </si>
  <si>
    <t xml:space="preserve">*PARQUE FOTOVOLTAICO SANTIAGO </t>
  </si>
  <si>
    <t xml:space="preserve">*PARQUE SOLAR ALANJE 1 </t>
  </si>
  <si>
    <t xml:space="preserve">*PARQUE SOLAR ALANJE 2 </t>
  </si>
  <si>
    <t xml:space="preserve">*PARQUE SOLAR ALANJE 3 </t>
  </si>
  <si>
    <t xml:space="preserve">*PANASOLAR IV </t>
  </si>
  <si>
    <t xml:space="preserve">*PANASOLAR V </t>
  </si>
  <si>
    <t xml:space="preserve">*PARQUE FOTOVOLTAICO LA MESA </t>
  </si>
  <si>
    <t xml:space="preserve">*PARQUE FOTOVOLTAICO SAN BARTOLO </t>
  </si>
  <si>
    <t xml:space="preserve">*PARQUE FOTOVOLTAICO AGUA VIVA </t>
  </si>
  <si>
    <t>*CENTRAL SOLAR LA HUECA</t>
  </si>
  <si>
    <t xml:space="preserve">*SAN BARTOLO 1 </t>
  </si>
  <si>
    <t xml:space="preserve">*SAN BARTOLO 2 </t>
  </si>
  <si>
    <t xml:space="preserve">*SAN BARTOLO 3 </t>
  </si>
  <si>
    <t xml:space="preserve">*SAN BARTOLO 4 </t>
  </si>
  <si>
    <t>***BURICA</t>
  </si>
  <si>
    <t>ZONA 5</t>
  </si>
  <si>
    <t xml:space="preserve">***EL FRAILE + EL FRAILE UND 3 </t>
  </si>
  <si>
    <t xml:space="preserve">***LA YEGUADA </t>
  </si>
  <si>
    <t xml:space="preserve">*DON FELIX + DON FELIX ET2  </t>
  </si>
  <si>
    <t xml:space="preserve">*SOLAR DIVISA  </t>
  </si>
  <si>
    <t xml:space="preserve">*SOLAR PARIS  </t>
  </si>
  <si>
    <t xml:space="preserve">*SOLAR LOS ÁNGELES </t>
  </si>
  <si>
    <t xml:space="preserve">*SOL REAL </t>
  </si>
  <si>
    <t>*EL ESPINAL</t>
  </si>
  <si>
    <t xml:space="preserve">*VISTA ALEGRE </t>
  </si>
  <si>
    <t>*MILTON SOLAR</t>
  </si>
  <si>
    <t xml:space="preserve">**MARAÑÓN </t>
  </si>
  <si>
    <t>EÓLICA</t>
  </si>
  <si>
    <t xml:space="preserve">**ROSA DE LOS VIENTOS  </t>
  </si>
  <si>
    <t>**AES PANAMA, S.R.L. (NUEVO CHAGRES - FASE 1)</t>
  </si>
  <si>
    <t>**UEP PENONOMÉ II, S.A. (NUEVO CHAGRES II)</t>
  </si>
  <si>
    <t xml:space="preserve">**PORTOBELO </t>
  </si>
  <si>
    <t xml:space="preserve">**ROSA DE LOS VIENTOS ETAPA II </t>
  </si>
  <si>
    <t xml:space="preserve">**PARQUE EÓLICO TOABRÉ </t>
  </si>
  <si>
    <t xml:space="preserve">*POCRÍ </t>
  </si>
  <si>
    <t xml:space="preserve">*ESTRELLA SOLAR  </t>
  </si>
  <si>
    <t>*PANASOLAR</t>
  </si>
  <si>
    <t>*FOTOVOLTAICA SANTIAGO GEN (E)</t>
  </si>
  <si>
    <t xml:space="preserve">*PARQUE SOLAR PENONOMÉ </t>
  </si>
  <si>
    <t xml:space="preserve">*MAYORCA SOLAR (AES) </t>
  </si>
  <si>
    <t xml:space="preserve">*SOLAR PESÉ (AES) </t>
  </si>
  <si>
    <t>*CAMPO SOLAR LA VICTORIA</t>
  </si>
  <si>
    <t xml:space="preserve">*LOS SANTOS SOLAR </t>
  </si>
  <si>
    <t xml:space="preserve">*FARALLON SOLAR 2 </t>
  </si>
  <si>
    <t>*ORO SOLAR</t>
  </si>
  <si>
    <t xml:space="preserve">*FORSUN SOLAR </t>
  </si>
  <si>
    <t>*RIO DE JESUS SOLAR</t>
  </si>
  <si>
    <t xml:space="preserve">*ANTON SOLAR 1 </t>
  </si>
  <si>
    <t xml:space="preserve">*CHUPAMPA SOLAR </t>
  </si>
  <si>
    <t xml:space="preserve">*SAN CARLOS SOLAR </t>
  </si>
  <si>
    <t xml:space="preserve">*RODEO SOLAR </t>
  </si>
  <si>
    <t>*LA TORRE  (E)</t>
  </si>
  <si>
    <t>*LA VILLA SOLAR</t>
  </si>
  <si>
    <t xml:space="preserve">*CAMPO SOLAR SANTIAGO 1 </t>
  </si>
  <si>
    <t xml:space="preserve">*CAMPO SOLAR SANTIAGO 2 </t>
  </si>
  <si>
    <t xml:space="preserve">*CAMPO SOLAR SANTIAGO 3 </t>
  </si>
  <si>
    <t xml:space="preserve">*CAMPO SOLAR SANTIAGO 4 </t>
  </si>
  <si>
    <t xml:space="preserve">*CAMPO SOLAR SANTIAGO 5 </t>
  </si>
  <si>
    <t xml:space="preserve">*CAMPO SOLAR SANTIAGO 6 </t>
  </si>
  <si>
    <t xml:space="preserve">*CAMPO SOLAR SANTIAGO 7 </t>
  </si>
  <si>
    <t xml:space="preserve">*PLANTA SOLAR FOTOVOLTAICA COCLÉ </t>
  </si>
  <si>
    <t xml:space="preserve">*LA SALAMANCA </t>
  </si>
  <si>
    <t xml:space="preserve">*JAGUITO GREEN ENERGY I </t>
  </si>
  <si>
    <t xml:space="preserve">*JAGUITO GREEN ENERGY II </t>
  </si>
  <si>
    <t xml:space="preserve">*JAGUITO GREEN ENERGY III </t>
  </si>
  <si>
    <t xml:space="preserve">*LLANO SANCHEZ </t>
  </si>
  <si>
    <t>**PARQUE EOLICO LA COLORADA</t>
  </si>
  <si>
    <t>ZONA 6</t>
  </si>
  <si>
    <t>****PANAM</t>
  </si>
  <si>
    <t>*ANTÓN (E)</t>
  </si>
  <si>
    <t>*CONCEPTO SOLAR, S.A. (BEJUCO SOLAR) (E)</t>
  </si>
  <si>
    <t>*MASPV PANAMA INC. (SUNRISE MASPV1) (E)</t>
  </si>
  <si>
    <t>*PARQUE FOTOVOLTAICO ECOENER SAN JUAN (E)</t>
  </si>
  <si>
    <t>*CHAME SOLAR</t>
  </si>
  <si>
    <t>*SUNRISE MASPV2 (E)</t>
  </si>
  <si>
    <t>*LA CANTERA (E)</t>
  </si>
  <si>
    <t>*BRILLO SOLAR</t>
  </si>
  <si>
    <t>*CLEAN SOLAR (E)</t>
  </si>
  <si>
    <t>*CACAO SOLAR</t>
  </si>
  <si>
    <t>ZONA 7</t>
  </si>
  <si>
    <t xml:space="preserve">***MIRAFLORES  </t>
  </si>
  <si>
    <t>****PACORA</t>
  </si>
  <si>
    <t>ZONA 8</t>
  </si>
  <si>
    <t>***BAYANO</t>
  </si>
  <si>
    <t>ZONA 9</t>
  </si>
  <si>
    <t>****CENTRAL TERMICA CATIVA Y TURBINA DE GAS</t>
  </si>
  <si>
    <t>****TERMO-COLÓN CICLO COMBINADO</t>
  </si>
  <si>
    <t>****COSTA NORTE</t>
  </si>
  <si>
    <t>****TROPITÉRMICA</t>
  </si>
  <si>
    <t>****SPARKLE POWER</t>
  </si>
  <si>
    <t xml:space="preserve">****C.T. GATÚN </t>
  </si>
  <si>
    <t>ZONA 10</t>
  </si>
  <si>
    <t>***CHANGUINOLA</t>
  </si>
  <si>
    <t>***BONYIC</t>
  </si>
  <si>
    <t>Total de Generación MW</t>
  </si>
  <si>
    <t xml:space="preserve">Total </t>
  </si>
  <si>
    <t>El Higo</t>
  </si>
  <si>
    <t>% Asignación a Generación</t>
  </si>
  <si>
    <t>% Asignación a Demanda</t>
  </si>
  <si>
    <t>ACTSPT (Activo bruto Sistema Principal) + PG. Asignado a G y D</t>
  </si>
  <si>
    <t>ACTNSPT (Activo Neto Sistema Principal) + PG. Asignado a G y D</t>
  </si>
  <si>
    <t>ACTEGyDef (Sistema Principal + PG). Asignado a G y D</t>
  </si>
  <si>
    <t>Sistema Principal de Transmisión (SPT)</t>
  </si>
  <si>
    <t>MINERA PANAMÁ</t>
  </si>
  <si>
    <t>USUARIO</t>
  </si>
  <si>
    <t>Directo</t>
  </si>
  <si>
    <t>S/E Changuinola</t>
  </si>
  <si>
    <t>S/E Boqueron III</t>
  </si>
  <si>
    <t>S/E Bayano</t>
  </si>
  <si>
    <t>S/E Caldera</t>
  </si>
  <si>
    <t>Indirecto</t>
  </si>
  <si>
    <t>S/E Chorrera</t>
  </si>
  <si>
    <t>S/E Chorrera y S/ Llano Sanchez</t>
  </si>
  <si>
    <t>S/ El Coco</t>
  </si>
  <si>
    <t>S/E El Higo</t>
  </si>
  <si>
    <t>S/E Guaquitas</t>
  </si>
  <si>
    <t>S/E Guasquitas</t>
  </si>
  <si>
    <t>S/E Mata de Nance</t>
  </si>
  <si>
    <t>S/E Panamá</t>
  </si>
  <si>
    <t>S/E Panamá II</t>
  </si>
  <si>
    <t>S/E Caceres</t>
  </si>
  <si>
    <t>S/E Pocrí</t>
  </si>
  <si>
    <t>S/E Progreso</t>
  </si>
  <si>
    <t>S/E Progreso II</t>
  </si>
  <si>
    <t>S/E San Bartolo</t>
  </si>
  <si>
    <t>S/E Santa Rita</t>
  </si>
  <si>
    <t>S/E Veladero</t>
  </si>
  <si>
    <t>S/ Mata de Nance y S/E Progreso</t>
  </si>
  <si>
    <t>S/E Llano Sanchez</t>
  </si>
  <si>
    <t>Indirecto o Directo</t>
  </si>
  <si>
    <t>S/E Sabanitas</t>
  </si>
  <si>
    <t>S/E Antón IV</t>
  </si>
  <si>
    <t>S/E El Coco</t>
  </si>
  <si>
    <t>S/E Dominical</t>
  </si>
  <si>
    <t>Llano Sánchez / El Coco</t>
  </si>
  <si>
    <t>Subestación</t>
  </si>
  <si>
    <t>SUBESTACIÓN</t>
  </si>
  <si>
    <t>Linea Distribución Edechi</t>
  </si>
  <si>
    <t>*ELECTRICIDAD SOLAR, S.A. (MENDOSA SOLAR)  (E)</t>
  </si>
  <si>
    <t>S/E Antón II</t>
  </si>
  <si>
    <t xml:space="preserve">(*) corresponden a Generación Fotovoltaica (Solar) </t>
  </si>
  <si>
    <t xml:space="preserve">(**) corresponde a la Generación Eólica </t>
  </si>
  <si>
    <t>(***) corresponde a la Generación Hídrica</t>
  </si>
  <si>
    <t>(****) corresponde a la Generación Térmica</t>
  </si>
  <si>
    <t>(E) corresponden a las Generaciones Solares y Eólicas Exentas del Cargo de Transmisión según Reglamento de Transmisión</t>
  </si>
  <si>
    <t>PERIODO TARIFARIO 2025 - 2029</t>
  </si>
  <si>
    <t>(balboas por kW/mes)</t>
  </si>
  <si>
    <t>CARGOS UNITARIOS SEGÚN TIPO DE AGENTES (B/. / kW-mes)</t>
  </si>
  <si>
    <t>AGENTES</t>
  </si>
  <si>
    <t>1/07/2025- 30/06/2026</t>
  </si>
  <si>
    <t>1/07/2026- 30/06/2027</t>
  </si>
  <si>
    <t>1/07/2027- 30/06/2028</t>
  </si>
  <si>
    <t>1/07/2028- 30/06/2029</t>
  </si>
  <si>
    <t>Generadores</t>
  </si>
  <si>
    <t>Consumidores</t>
  </si>
  <si>
    <t>CUADRO NO. 8</t>
  </si>
  <si>
    <t>Sunstar</t>
  </si>
  <si>
    <t>LINEA 230-27 -28, S/E PROGRESO</t>
  </si>
  <si>
    <t xml:space="preserve">FOTOVOLTÁICA </t>
  </si>
  <si>
    <t>Linea 34-50</t>
  </si>
  <si>
    <t>Linea 34-41</t>
  </si>
  <si>
    <t>Interruptor 3B22 y 3M22 de S/E Progreso en 34.5 kV</t>
  </si>
  <si>
    <t>circuito 34-182 de la central Madre vieja solar  que se conecta a la subestación Progreso 34.5 kV</t>
  </si>
  <si>
    <t>Patio 34.5 kV</t>
  </si>
  <si>
    <t>central de generación F. Ecosolar, que se conecta a la Subestacion Progreso 34.5 kV</t>
  </si>
  <si>
    <t>Circuito 34-32A</t>
  </si>
  <si>
    <t>Circuito 34-41 que se conecta a la S/E Progreso</t>
  </si>
  <si>
    <t>*SOLARPRO</t>
  </si>
  <si>
    <t xml:space="preserve">*SOLARPRO 2 </t>
  </si>
  <si>
    <t>Líneas 230-7, 230-8, 230-18 a la S/E Fortuna Nave 3</t>
  </si>
  <si>
    <t>S/E GUASQUITAS</t>
  </si>
  <si>
    <t xml:space="preserve">S/E GUALACA </t>
  </si>
  <si>
    <t>Devanados secundarios de T1 de la CH Prudencia</t>
  </si>
  <si>
    <t>***GUALACA</t>
  </si>
  <si>
    <t>S/E CALDERA</t>
  </si>
  <si>
    <t>Patio de 34.5 kV de la S/E Caldera</t>
  </si>
  <si>
    <t>barra 34. kV  de la subestación Caldera</t>
  </si>
  <si>
    <t>Barra 34.5 kV</t>
  </si>
  <si>
    <t xml:space="preserve">Barra 24.5 kV </t>
  </si>
  <si>
    <t>*MENDRE SOLAR</t>
  </si>
  <si>
    <t>Linea 34-71 de la CH Mendre 2 a la barra de 34.5 kV</t>
  </si>
  <si>
    <t>*PROYECTO SOLAR UP1</t>
  </si>
  <si>
    <t>circuito 34-11  EDECHI   que se conecta a la subestación Mata de Nance</t>
  </si>
  <si>
    <t>circuito 34-15  EDECHI   que se conecta a la subestación Mata de Nance</t>
  </si>
  <si>
    <t xml:space="preserve">Barra de 34.5 kV S/E </t>
  </si>
  <si>
    <t>***MACANO</t>
  </si>
  <si>
    <t>Barra 34.5 Kv  S/E BOQUERON</t>
  </si>
  <si>
    <t>LINEA 34-19, S/E MATA DE NANCE</t>
  </si>
  <si>
    <t>LINEA 34-16</t>
  </si>
  <si>
    <t>barra 34. kV  de la subestación Boqueron III</t>
  </si>
  <si>
    <t>Barra de 34.5 kV de la S/E boqueron 3</t>
  </si>
  <si>
    <t>Circuito 34-19 de la S/E Porvenir</t>
  </si>
  <si>
    <t>LINEA DEL SIEPAC 230-25 S/E VELADERO</t>
  </si>
  <si>
    <t>LINEA 34-53 EDECHI, S/E MATA DE NANCE</t>
  </si>
  <si>
    <t>subestación dominical, que se conecta a la Subestacion Veladero</t>
  </si>
  <si>
    <t>Línea 34-15 S/E El Porvenir y Líneas 34-41 / 34-53 S/E Porvenir</t>
  </si>
  <si>
    <t>S/E MATA DE NANCE PATIO 34.5</t>
  </si>
  <si>
    <t>S/E SAN BARTOLO</t>
  </si>
  <si>
    <t>BARRA 34.5 TRANSF T2</t>
  </si>
  <si>
    <t>34.5 KV S/E MATA DE NANCE</t>
  </si>
  <si>
    <t>Por medio de la CF Caoba Solar</t>
  </si>
  <si>
    <t>*MACANO SOLAR</t>
  </si>
  <si>
    <t>Linea 34-64 mediante barra 34.5 kV</t>
  </si>
  <si>
    <t>FOTOVOLTÁICA / BIOMASA</t>
  </si>
  <si>
    <t>***SAN LORENZO</t>
  </si>
  <si>
    <t>HIDRICA</t>
  </si>
  <si>
    <t>Patio 230 kV</t>
  </si>
  <si>
    <t>LINEA 230-6 S/E VELADERO</t>
  </si>
  <si>
    <t xml:space="preserve">circuito 34-50 subestación Chiriquí, que se conecta a la subestación Mata de nance </t>
  </si>
  <si>
    <t>Línea 34-220 del Patio 34.5 kV</t>
  </si>
  <si>
    <t>Circuito 34-220</t>
  </si>
  <si>
    <t>Linea 34.5 kV al Patio de 34.5 kV</t>
  </si>
  <si>
    <t xml:space="preserve">Interruptores 3LA42 Y 3LA52 del Patio 34.5 kV e interruptor 11A12 del patio de 115 kV </t>
  </si>
  <si>
    <t>Linea 34-192</t>
  </si>
  <si>
    <t>Circuito 34.5 kV</t>
  </si>
  <si>
    <t>Linea 34-193</t>
  </si>
  <si>
    <t>Linea 230-63 a la Nave 3</t>
  </si>
  <si>
    <t>Linea 230-63 a la Nave 4</t>
  </si>
  <si>
    <t>Linea 230-63 a la Nave 5</t>
  </si>
  <si>
    <t>Linea 230-63 a la Nave 6</t>
  </si>
  <si>
    <t>Linea 230-63 a la Nave 7</t>
  </si>
  <si>
    <t>Linea 230-63 a la Nave 8</t>
  </si>
  <si>
    <t>Linea 230-63 a la Nave 9</t>
  </si>
  <si>
    <t>CIRCUITO 34-40 EDEMET</t>
  </si>
  <si>
    <t>34-30A</t>
  </si>
  <si>
    <t>*FRAILE SOLAR I (E)</t>
  </si>
  <si>
    <t>*FRAILE SOLAR II (E)</t>
  </si>
  <si>
    <t>linea 34-40</t>
  </si>
  <si>
    <t>34-35 B</t>
  </si>
  <si>
    <t>34-39</t>
  </si>
  <si>
    <t>34-75</t>
  </si>
  <si>
    <t>L 230-12 Y 230-13 S/E EL COCO</t>
  </si>
  <si>
    <t xml:space="preserve"> La nave 3 y 4 de la S/E El COCO propiedad del USUARIO DIRECTO que secciona las líneas 230-12 y 230-13 propiedad del TRANSPORTISTA</t>
  </si>
  <si>
    <t>Nave 5 de la S/E el Coco a las lineas 230-12 y 203-13</t>
  </si>
  <si>
    <t>Linea 34-42</t>
  </si>
  <si>
    <t>Línea 34-29 de la S/E La Arena</t>
  </si>
  <si>
    <t>S/E El Coco en 230 kV</t>
  </si>
  <si>
    <t>Linea 34-39 de la S/E Las Tablas hasta la S/E Los Santos mediante la S/E La Arena</t>
  </si>
  <si>
    <t>Linea Troncal del circuito 34-29 de la S/E Arena, por medio de la linea 115-13</t>
  </si>
  <si>
    <t xml:space="preserve">*PROYECTO FOTOVOLTAICO JAGUITO SOLAR </t>
  </si>
  <si>
    <t>Circuito 34-116 propiedad de ENEL SOLAR, conectada al circuito 34-36 S/E Pocrí</t>
  </si>
  <si>
    <t>*DACONAN SOLAR</t>
  </si>
  <si>
    <t>Línea 34-33</t>
  </si>
  <si>
    <t>*PANASOLAR II</t>
  </si>
  <si>
    <t>subestación de la Central solar Panasolar, que se conecta a la subestación Llano Sanchez</t>
  </si>
  <si>
    <t xml:space="preserve">*PANASOLAR III </t>
  </si>
  <si>
    <t>S/E La Arena</t>
  </si>
  <si>
    <t>Circuito 34-75 de la S/E Los Santos que va a dos lineas de la S/E la Area y a la linea 115-13</t>
  </si>
  <si>
    <t>circuito 34-35 B  subestación La Arena, que se conecta a la subestación Llano Sanchez</t>
  </si>
  <si>
    <t>Circuito 33-34 Naturgy que se conecta a la subestación Llano Sanchez patio 34.5 kV</t>
  </si>
  <si>
    <t>Circuito 34-21 de ña S/E San Antonio, alimentado por el circuito 34-122 de la S/E Santiago, conectado por la línea 115-27</t>
  </si>
  <si>
    <t>Circuito 34-7A de la S/E El Higo conectados a los circuitos 230-3B y 230-4B y a los 230-3C y 230-4C</t>
  </si>
  <si>
    <t>por medio del circuito 34-49 de la S/E Dolega conectado al SIN en la S/E Mata de Nance</t>
  </si>
  <si>
    <t>circuito 34-26  subestación monagrillo, que se conecta a la subestación llano sanchez 115-13</t>
  </si>
  <si>
    <t xml:space="preserve">*COCLÉ SOLAR ANSA </t>
  </si>
  <si>
    <t>34-40</t>
  </si>
  <si>
    <t xml:space="preserve"> se conecta a la Subestacion Lano Sanchez 34.5 kV</t>
  </si>
  <si>
    <t>Cierre de la Cuchilla 23LB50 de la Línea 230-11</t>
  </si>
  <si>
    <t>Interruptor de MT de la lína troncal del circuito 34-4 de la S/E Capita</t>
  </si>
  <si>
    <t>Circuito 34-6 de la S/E El Torno</t>
  </si>
  <si>
    <t>Circuito 34-6 de la subestación El Torno, que se conecta a la subestación Chorrera por medio de linea 34-2 y 34-3 kV</t>
  </si>
  <si>
    <t>circuito 34-50 EDECHI  subestación capira, que se conecta a la subestación chorrera</t>
  </si>
  <si>
    <t>Circuito 34-6 de la S/E El Torno y a las lineas 34-2 y 34-3</t>
  </si>
  <si>
    <t>por medio del circuito 34-5 de la S/E El Torno conecado al SIN en S/E Chorrera</t>
  </si>
  <si>
    <t>Línea troncal del circuito 34-13</t>
  </si>
  <si>
    <t>por medio del circuito 34-6 de la S/E el Torno</t>
  </si>
  <si>
    <t>S/E Toabré mediante la línea 230-26</t>
  </si>
  <si>
    <t>**TOABRE ETAPA II</t>
  </si>
  <si>
    <t>**TOABRE ETAPA III</t>
  </si>
  <si>
    <t>circuito 34.5 Kv  S/E El Higo  que se conecta a la subestación El Higo 230kV</t>
  </si>
  <si>
    <t>*FARALLÓN SOLAR (E)</t>
  </si>
  <si>
    <t>T1 S/E EL HIGO</t>
  </si>
  <si>
    <t>*CAPIRA SOLAR</t>
  </si>
  <si>
    <t>S/E CACERES</t>
  </si>
  <si>
    <t>subestación Pacora , que se conecta a la subestación Panama II L  230-1B</t>
  </si>
  <si>
    <t>****PACORA 2 (E)</t>
  </si>
  <si>
    <t xml:space="preserve"> subestación  Las Minas #1 y 2, que se conecta a la lineas 115-1C/2B y 115-3B/4B</t>
  </si>
  <si>
    <t>PATIO DE  115 Kv</t>
  </si>
  <si>
    <t>Toore No. 4A de la S/E Santa Rita por medio de las lineas 230-54 y 230-55</t>
  </si>
  <si>
    <t>Cuircuito de Distribución C-X de la S/E Monte Esperanza</t>
  </si>
  <si>
    <t>S/E Cemento Panamá a las Lineas 115-4A y 115-4B</t>
  </si>
  <si>
    <t>Linea 230-20 propiedad del Transportista</t>
  </si>
  <si>
    <t>PATIO 115 kVS/E. CHANGUINOLA</t>
  </si>
  <si>
    <t>Nota 1: Para los autogeneradores Cadasa, ANSA y Minera Panamá se presenta el promedio de su potencia inyectada según datos actualizados.                                                                                                                                                                                                                                                                                 Nota 2: Las capacidades presentadas están basadas según las resoluciones de la ASEP.</t>
  </si>
  <si>
    <t>julio 2025 / junio 2026</t>
  </si>
  <si>
    <t>julio 2026 / junio 2027</t>
  </si>
  <si>
    <t>julio 2027 / junio 2028</t>
  </si>
  <si>
    <t>julio 2028 / junio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</si>
</sst>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_P_t_a_-;\-* #,##0.00\ _P_t_a_-;_-* &quot;-&quot;??\ _P_t_a_-;_-@_-"/>
    <numFmt numFmtId="166" formatCode="0.0000"/>
    <numFmt numFmtId="167" formatCode="0.0%"/>
    <numFmt numFmtId="168" formatCode="_(* #,##0_);_(* \(#,##0\);_(* &quot;-&quot;??_);_(@_)"/>
    <numFmt numFmtId="169" formatCode="_-[$€-2]* #,##0.00_-;\-[$€-2]* #,##0.00_-;_-[$€-2]* &quot;-&quot;??_-"/>
    <numFmt numFmtId="170" formatCode="#.00"/>
    <numFmt numFmtId="171" formatCode="d\-mmm\-yy"/>
    <numFmt numFmtId="172" formatCode="#,##0.0"/>
    <numFmt numFmtId="173" formatCode="_-* #,##0_-;\-* #,##0_-;_-* &quot;-&quot;??_-;_-@_-"/>
    <numFmt numFmtId="174" formatCode="0.0"/>
    <numFmt numFmtId="175" formatCode="_(* #,##0.00000_);_(* \(#,##0.00000\);_(* &quot;-&quot;??_);_(@_)"/>
    <numFmt numFmtId="176" formatCode="_-* #,##0.0000_-;\-* #,##0.0000_-;_-* &quot;-&quot;??_-;_-@_-"/>
    <numFmt numFmtId="177" formatCode="#,##0.00;[Red]#,##0.00"/>
    <numFmt numFmtId="178" formatCode="#,##0.00_ ;[Red]\-#,##0.00\ "/>
    <numFmt numFmtId="179" formatCode="#,##0.0000"/>
    <numFmt numFmtId="180" formatCode="mmmm\-yy"/>
    <numFmt numFmtId="181" formatCode="_ * #,##0.000_ ;_ * \-#,##0.000_ ;_ * &quot;-&quot;??_ ;_ @_ "/>
    <numFmt numFmtId="182" formatCode="0.0_)"/>
    <numFmt numFmtId="183" formatCode="_ * #,##0.0000_ ;_ * \-#,##0.0000_ ;_ * &quot;-&quot;??_ ;_ @_ "/>
    <numFmt numFmtId="184" formatCode="_(* #,##0.0000_);_(* \(#,##0.0000\);_(* &quot;-&quot;??_);_(@_)"/>
    <numFmt numFmtId="185" formatCode="_ * #,##0.00_ ;_ * \-#,##0.00_ ;_ * &quot;-&quot;??_ ;_ @_ "/>
    <numFmt numFmtId="186" formatCode="0.000"/>
  </numFmts>
  <fonts count="1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color indexed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FF0000"/>
      <name val="Arial"/>
      <family val="2"/>
    </font>
    <font>
      <sz val="10"/>
      <color theme="1"/>
      <name val="Times New Roman"/>
      <family val="1"/>
    </font>
    <font>
      <sz val="10"/>
      <color theme="3"/>
      <name val="Times New Roman"/>
      <family val="1"/>
    </font>
    <font>
      <i/>
      <sz val="10"/>
      <color theme="1" tint="0.499984740745262"/>
      <name val="Times New Roman"/>
      <family val="1"/>
    </font>
    <font>
      <b/>
      <i/>
      <sz val="10"/>
      <color theme="4"/>
      <name val="Times New Roman"/>
      <family val="1"/>
    </font>
    <font>
      <sz val="10"/>
      <color theme="4"/>
      <name val="Times New Roman"/>
      <family val="1"/>
    </font>
    <font>
      <i/>
      <sz val="10"/>
      <color theme="4"/>
      <name val="Times New Roman"/>
      <family val="1"/>
    </font>
    <font>
      <b/>
      <sz val="10"/>
      <color theme="3"/>
      <name val="Times New Roman"/>
      <family val="1"/>
    </font>
    <font>
      <sz val="10"/>
      <color theme="0"/>
      <name val="Times New Roman"/>
      <family val="1"/>
    </font>
    <font>
      <i/>
      <sz val="10"/>
      <color theme="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rgb="FF00B050"/>
      <name val="Times New Roman"/>
      <family val="1"/>
    </font>
    <font>
      <b/>
      <i/>
      <sz val="10"/>
      <color theme="1" tint="0.499984740745262"/>
      <name val="Times New Roman"/>
      <family val="1"/>
    </font>
    <font>
      <i/>
      <sz val="9"/>
      <color theme="4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0"/>
      <name val="ITC Bookman Demi"/>
      <family val="1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indexed="56"/>
      <name val="Times New Roman"/>
      <family val="1"/>
    </font>
    <font>
      <b/>
      <sz val="10"/>
      <color indexed="56"/>
      <name val="Times New Roman"/>
      <family val="1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u val="singleAccounting"/>
      <sz val="14"/>
      <name val="Arial"/>
      <family val="2"/>
    </font>
    <font>
      <sz val="14"/>
      <color rgb="FFFF0000"/>
      <name val="Arial"/>
      <family val="2"/>
    </font>
    <font>
      <b/>
      <i/>
      <u/>
      <sz val="12"/>
      <color rgb="FF0070C0"/>
      <name val="Arial"/>
      <family val="2"/>
    </font>
    <font>
      <u val="singleAccounting"/>
      <sz val="10"/>
      <name val="Arial"/>
      <family val="2"/>
    </font>
    <font>
      <sz val="18"/>
      <name val="Arial"/>
      <family val="2"/>
    </font>
    <font>
      <b/>
      <sz val="22"/>
      <name val="Arial"/>
      <family val="2"/>
    </font>
    <font>
      <sz val="22"/>
      <color rgb="FFFF0000"/>
      <name val="Arial"/>
      <family val="2"/>
    </font>
    <font>
      <sz val="12"/>
      <color rgb="FFFF0000"/>
      <name val="Arial"/>
      <family val="2"/>
    </font>
    <font>
      <b/>
      <vertAlign val="subscript"/>
      <sz val="10"/>
      <name val="Arial"/>
      <family val="2"/>
    </font>
    <font>
      <vertAlign val="subscript"/>
      <sz val="10"/>
      <name val="Arial"/>
      <family val="2"/>
    </font>
    <font>
      <b/>
      <sz val="14"/>
      <color theme="0"/>
      <name val="Arial"/>
      <family val="2"/>
    </font>
    <font>
      <sz val="18"/>
      <color rgb="FFFF0000"/>
      <name val="Times New Roman"/>
      <family val="1"/>
    </font>
    <font>
      <sz val="10"/>
      <name val="Arial"/>
      <family val="2"/>
    </font>
    <font>
      <sz val="10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Times New Roman"/>
      <family val="1"/>
    </font>
    <font>
      <i/>
      <sz val="10"/>
      <color indexed="63"/>
      <name val="Times New Roman"/>
      <family val="1"/>
    </font>
    <font>
      <b/>
      <i/>
      <sz val="10"/>
      <color indexed="63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0"/>
      <name val="Times New Roman"/>
      <family val="1"/>
    </font>
    <font>
      <sz val="9"/>
      <color theme="1" tint="0.499984740745262"/>
      <name val="Times New Roman"/>
      <family val="1"/>
    </font>
    <font>
      <b/>
      <sz val="11"/>
      <color theme="0"/>
      <name val="Arial Narrow"/>
      <family val="2"/>
    </font>
    <font>
      <b/>
      <sz val="10"/>
      <color rgb="FF1F497D"/>
      <name val="Times New Roman"/>
      <family val="1"/>
    </font>
    <font>
      <sz val="9"/>
      <color theme="3"/>
      <name val="Times New Roman"/>
      <family val="1"/>
    </font>
    <font>
      <b/>
      <sz val="10"/>
      <color rgb="FF000000"/>
      <name val="Times New Roman"/>
      <family val="1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B050"/>
      <name val="Times New Roman"/>
      <family val="1"/>
    </font>
    <font>
      <sz val="11"/>
      <color rgb="FF1F497D"/>
      <name val="Tahoma"/>
      <family val="2"/>
    </font>
    <font>
      <sz val="10"/>
      <color theme="4" tint="-0.249977111117893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</font>
    <font>
      <b/>
      <sz val="11"/>
      <color rgb="FF000000"/>
      <name val="Aptos Narrow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Aptos Narrow"/>
      <family val="2"/>
    </font>
    <font>
      <sz val="11"/>
      <name val="Calibri"/>
      <family val="2"/>
    </font>
    <font>
      <b/>
      <sz val="11"/>
      <name val="Aptos"/>
      <family val="2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hair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169" fontId="11" fillId="0" borderId="0" applyFont="0" applyFill="0" applyBorder="0" applyAlignment="0" applyProtection="0"/>
    <xf numFmtId="170" fontId="24" fillId="0" borderId="0">
      <protection locked="0"/>
    </xf>
    <xf numFmtId="170" fontId="24" fillId="0" borderId="0">
      <protection locked="0"/>
    </xf>
    <xf numFmtId="170" fontId="25" fillId="0" borderId="0">
      <protection locked="0"/>
    </xf>
    <xf numFmtId="170" fontId="24" fillId="0" borderId="0">
      <protection locked="0"/>
    </xf>
    <xf numFmtId="170" fontId="24" fillId="0" borderId="0">
      <protection locked="0"/>
    </xf>
    <xf numFmtId="170" fontId="24" fillId="0" borderId="0">
      <protection locked="0"/>
    </xf>
    <xf numFmtId="170" fontId="25" fillId="0" borderId="0">
      <protection locked="0"/>
    </xf>
    <xf numFmtId="0" fontId="26" fillId="3" borderId="0" applyNumberFormat="0" applyBorder="0" applyAlignment="0" applyProtection="0"/>
    <xf numFmtId="165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7" fillId="22" borderId="0" applyNumberFormat="0" applyBorder="0" applyAlignment="0" applyProtection="0"/>
    <xf numFmtId="0" fontId="13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1" fillId="23" borderId="4" applyNumberFormat="0" applyFont="0" applyAlignment="0" applyProtection="0"/>
    <xf numFmtId="40" fontId="28" fillId="24" borderId="0">
      <alignment horizontal="right"/>
    </xf>
    <xf numFmtId="0" fontId="29" fillId="24" borderId="0">
      <alignment horizontal="right"/>
    </xf>
    <xf numFmtId="0" fontId="30" fillId="24" borderId="5"/>
    <xf numFmtId="0" fontId="30" fillId="0" borderId="0" applyBorder="0">
      <alignment horizontal="centerContinuous"/>
    </xf>
    <xf numFmtId="0" fontId="31" fillId="0" borderId="0" applyBorder="0">
      <alignment horizontal="centerContinuous"/>
    </xf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2" fillId="16" borderId="6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22" fillId="0" borderId="9" applyNumberFormat="0" applyFill="0" applyAlignment="0" applyProtection="0"/>
    <xf numFmtId="0" fontId="38" fillId="0" borderId="10" applyNumberFormat="0" applyFill="0" applyAlignment="0" applyProtection="0"/>
    <xf numFmtId="0" fontId="10" fillId="0" borderId="0"/>
    <xf numFmtId="9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3" fillId="7" borderId="1" applyNumberFormat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23" borderId="4" applyNumberFormat="0" applyFont="0" applyAlignment="0" applyProtection="0"/>
    <xf numFmtId="0" fontId="11" fillId="23" borderId="4" applyNumberFormat="0" applyFont="0" applyAlignment="0" applyProtection="0"/>
    <xf numFmtId="0" fontId="11" fillId="23" borderId="4" applyNumberFormat="0" applyFont="0" applyAlignment="0" applyProtection="0"/>
    <xf numFmtId="0" fontId="32" fillId="16" borderId="6" applyNumberFormat="0" applyAlignment="0" applyProtection="0"/>
    <xf numFmtId="0" fontId="32" fillId="16" borderId="6" applyNumberFormat="0" applyAlignment="0" applyProtection="0"/>
    <xf numFmtId="0" fontId="32" fillId="16" borderId="6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38" fillId="0" borderId="10" applyNumberFormat="0" applyFill="0" applyAlignment="0" applyProtection="0"/>
    <xf numFmtId="0" fontId="11" fillId="0" borderId="0"/>
    <xf numFmtId="0" fontId="9" fillId="0" borderId="0"/>
    <xf numFmtId="164" fontId="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96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85" fontId="4" fillId="0" borderId="0" applyFont="0" applyFill="0" applyBorder="0" applyAlignment="0" applyProtection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85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33" fillId="0" borderId="0"/>
  </cellStyleXfs>
  <cellXfs count="1038">
    <xf numFmtId="0" fontId="0" fillId="0" borderId="0" xfId="0"/>
    <xf numFmtId="0" fontId="12" fillId="0" borderId="0" xfId="0" applyFont="1"/>
    <xf numFmtId="171" fontId="0" fillId="0" borderId="0" xfId="0" applyNumberFormat="1"/>
    <xf numFmtId="0" fontId="12" fillId="0" borderId="0" xfId="0" applyFont="1" applyAlignment="1">
      <alignment horizontal="center" vertical="center"/>
    </xf>
    <xf numFmtId="0" fontId="12" fillId="24" borderId="0" xfId="0" applyFont="1" applyFill="1"/>
    <xf numFmtId="0" fontId="0" fillId="24" borderId="0" xfId="0" applyFill="1"/>
    <xf numFmtId="0" fontId="12" fillId="24" borderId="17" xfId="0" applyFont="1" applyFill="1" applyBorder="1"/>
    <xf numFmtId="0" fontId="12" fillId="24" borderId="29" xfId="0" applyFont="1" applyFill="1" applyBorder="1" applyAlignment="1">
      <alignment horizontal="center"/>
    </xf>
    <xf numFmtId="0" fontId="12" fillId="24" borderId="30" xfId="0" applyFont="1" applyFill="1" applyBorder="1" applyAlignment="1">
      <alignment horizontal="center"/>
    </xf>
    <xf numFmtId="0" fontId="44" fillId="0" borderId="0" xfId="0" applyFont="1"/>
    <xf numFmtId="0" fontId="12" fillId="24" borderId="31" xfId="0" applyFont="1" applyFill="1" applyBorder="1"/>
    <xf numFmtId="168" fontId="0" fillId="0" borderId="0" xfId="0" applyNumberFormat="1"/>
    <xf numFmtId="0" fontId="12" fillId="24" borderId="29" xfId="0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 vertical="center"/>
    </xf>
    <xf numFmtId="0" fontId="12" fillId="24" borderId="40" xfId="0" applyFont="1" applyFill="1" applyBorder="1"/>
    <xf numFmtId="0" fontId="12" fillId="24" borderId="35" xfId="0" applyFont="1" applyFill="1" applyBorder="1" applyAlignment="1">
      <alignment horizontal="left" vertical="justify"/>
    </xf>
    <xf numFmtId="0" fontId="12" fillId="24" borderId="43" xfId="0" applyFont="1" applyFill="1" applyBorder="1"/>
    <xf numFmtId="0" fontId="12" fillId="24" borderId="50" xfId="0" applyFont="1" applyFill="1" applyBorder="1" applyAlignment="1">
      <alignment vertical="center"/>
    </xf>
    <xf numFmtId="0" fontId="42" fillId="24" borderId="52" xfId="0" applyFont="1" applyFill="1" applyBorder="1" applyAlignment="1">
      <alignment vertical="center"/>
    </xf>
    <xf numFmtId="0" fontId="42" fillId="24" borderId="5" xfId="0" applyFont="1" applyFill="1" applyBorder="1" applyAlignment="1">
      <alignment vertical="center"/>
    </xf>
    <xf numFmtId="0" fontId="42" fillId="24" borderId="11" xfId="0" applyFont="1" applyFill="1" applyBorder="1" applyAlignment="1">
      <alignment vertical="center"/>
    </xf>
    <xf numFmtId="0" fontId="42" fillId="24" borderId="42" xfId="0" applyFont="1" applyFill="1" applyBorder="1" applyAlignment="1">
      <alignment vertical="center"/>
    </xf>
    <xf numFmtId="0" fontId="41" fillId="24" borderId="52" xfId="0" applyFont="1" applyFill="1" applyBorder="1" applyAlignment="1">
      <alignment horizontal="center" vertical="center"/>
    </xf>
    <xf numFmtId="0" fontId="41" fillId="24" borderId="53" xfId="0" applyFont="1" applyFill="1" applyBorder="1" applyAlignment="1">
      <alignment horizontal="center" vertical="center"/>
    </xf>
    <xf numFmtId="0" fontId="12" fillId="24" borderId="54" xfId="0" applyFont="1" applyFill="1" applyBorder="1" applyAlignment="1">
      <alignment vertical="center"/>
    </xf>
    <xf numFmtId="0" fontId="12" fillId="24" borderId="54" xfId="0" applyFont="1" applyFill="1" applyBorder="1" applyAlignment="1">
      <alignment horizontal="left" vertical="center"/>
    </xf>
    <xf numFmtId="0" fontId="50" fillId="0" borderId="0" xfId="0" applyFont="1"/>
    <xf numFmtId="0" fontId="12" fillId="24" borderId="45" xfId="0" applyFont="1" applyFill="1" applyBorder="1" applyAlignment="1">
      <alignment vertical="center"/>
    </xf>
    <xf numFmtId="0" fontId="41" fillId="24" borderId="56" xfId="0" applyFont="1" applyFill="1" applyBorder="1" applyAlignment="1">
      <alignment horizontal="center" vertical="center"/>
    </xf>
    <xf numFmtId="0" fontId="42" fillId="24" borderId="29" xfId="0" applyFont="1" applyFill="1" applyBorder="1" applyAlignment="1">
      <alignment vertical="center"/>
    </xf>
    <xf numFmtId="0" fontId="42" fillId="24" borderId="56" xfId="0" applyFont="1" applyFill="1" applyBorder="1" applyAlignment="1">
      <alignment vertical="center"/>
    </xf>
    <xf numFmtId="2" fontId="42" fillId="24" borderId="29" xfId="0" applyNumberFormat="1" applyFont="1" applyFill="1" applyBorder="1" applyAlignment="1">
      <alignment vertical="center"/>
    </xf>
    <xf numFmtId="2" fontId="42" fillId="24" borderId="57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73" fontId="42" fillId="24" borderId="11" xfId="0" applyNumberFormat="1" applyFont="1" applyFill="1" applyBorder="1" applyAlignment="1">
      <alignment vertical="center"/>
    </xf>
    <xf numFmtId="168" fontId="42" fillId="24" borderId="34" xfId="0" applyNumberFormat="1" applyFont="1" applyFill="1" applyBorder="1" applyAlignment="1">
      <alignment vertical="center"/>
    </xf>
    <xf numFmtId="174" fontId="0" fillId="0" borderId="0" xfId="0" applyNumberFormat="1" applyAlignment="1">
      <alignment horizontal="right"/>
    </xf>
    <xf numFmtId="173" fontId="46" fillId="24" borderId="11" xfId="0" applyNumberFormat="1" applyFont="1" applyFill="1" applyBorder="1" applyAlignment="1">
      <alignment vertical="center"/>
    </xf>
    <xf numFmtId="168" fontId="42" fillId="24" borderId="11" xfId="0" applyNumberFormat="1" applyFont="1" applyFill="1" applyBorder="1" applyAlignment="1">
      <alignment vertical="center"/>
    </xf>
    <xf numFmtId="0" fontId="12" fillId="0" borderId="0" xfId="0" applyFont="1" applyAlignment="1">
      <alignment horizontal="right"/>
    </xf>
    <xf numFmtId="0" fontId="12" fillId="24" borderId="15" xfId="0" applyFont="1" applyFill="1" applyBorder="1" applyAlignment="1">
      <alignment vertical="center"/>
    </xf>
    <xf numFmtId="168" fontId="41" fillId="24" borderId="38" xfId="0" applyNumberFormat="1" applyFont="1" applyFill="1" applyBorder="1" applyAlignment="1">
      <alignment vertical="center"/>
    </xf>
    <xf numFmtId="168" fontId="41" fillId="24" borderId="16" xfId="0" applyNumberFormat="1" applyFont="1" applyFill="1" applyBorder="1" applyAlignment="1">
      <alignment vertical="center"/>
    </xf>
    <xf numFmtId="174" fontId="0" fillId="0" borderId="0" xfId="0" applyNumberFormat="1"/>
    <xf numFmtId="168" fontId="0" fillId="24" borderId="0" xfId="0" applyNumberFormat="1" applyFill="1"/>
    <xf numFmtId="2" fontId="12" fillId="24" borderId="0" xfId="0" applyNumberFormat="1" applyFont="1" applyFill="1"/>
    <xf numFmtId="168" fontId="12" fillId="0" borderId="17" xfId="0" applyNumberFormat="1" applyFont="1" applyBorder="1"/>
    <xf numFmtId="168" fontId="12" fillId="0" borderId="48" xfId="0" applyNumberFormat="1" applyFont="1" applyBorder="1"/>
    <xf numFmtId="168" fontId="12" fillId="0" borderId="59" xfId="0" applyNumberFormat="1" applyFont="1" applyBorder="1"/>
    <xf numFmtId="0" fontId="42" fillId="0" borderId="12" xfId="0" applyFont="1" applyBorder="1" applyAlignment="1">
      <alignment horizontal="center" vertical="center"/>
    </xf>
    <xf numFmtId="168" fontId="42" fillId="0" borderId="12" xfId="0" applyNumberFormat="1" applyFont="1" applyBorder="1" applyAlignment="1">
      <alignment horizontal="center" vertical="center"/>
    </xf>
    <xf numFmtId="0" fontId="12" fillId="0" borderId="12" xfId="0" applyFont="1" applyBorder="1"/>
    <xf numFmtId="0" fontId="41" fillId="0" borderId="12" xfId="0" applyFont="1" applyBorder="1" applyAlignment="1">
      <alignment horizontal="center" vertical="center"/>
    </xf>
    <xf numFmtId="176" fontId="41" fillId="0" borderId="12" xfId="0" applyNumberFormat="1" applyFont="1" applyBorder="1" applyAlignment="1">
      <alignment horizontal="center" vertical="center"/>
    </xf>
    <xf numFmtId="168" fontId="0" fillId="0" borderId="12" xfId="0" applyNumberFormat="1" applyBorder="1"/>
    <xf numFmtId="0" fontId="39" fillId="24" borderId="29" xfId="0" applyFont="1" applyFill="1" applyBorder="1" applyAlignment="1">
      <alignment horizontal="center"/>
    </xf>
    <xf numFmtId="0" fontId="39" fillId="24" borderId="30" xfId="0" applyFont="1" applyFill="1" applyBorder="1" applyAlignment="1">
      <alignment horizontal="center"/>
    </xf>
    <xf numFmtId="0" fontId="0" fillId="24" borderId="31" xfId="0" applyFill="1" applyBorder="1"/>
    <xf numFmtId="0" fontId="40" fillId="24" borderId="23" xfId="0" applyFont="1" applyFill="1" applyBorder="1" applyAlignment="1">
      <alignment horizontal="center"/>
    </xf>
    <xf numFmtId="0" fontId="40" fillId="24" borderId="11" xfId="0" applyFont="1" applyFill="1" applyBorder="1" applyAlignment="1">
      <alignment horizontal="center"/>
    </xf>
    <xf numFmtId="0" fontId="0" fillId="24" borderId="35" xfId="0" applyFill="1" applyBorder="1"/>
    <xf numFmtId="0" fontId="40" fillId="24" borderId="24" xfId="0" applyFont="1" applyFill="1" applyBorder="1" applyAlignment="1">
      <alignment horizontal="center"/>
    </xf>
    <xf numFmtId="0" fontId="12" fillId="24" borderId="50" xfId="0" applyFont="1" applyFill="1" applyBorder="1"/>
    <xf numFmtId="0" fontId="0" fillId="24" borderId="11" xfId="0" applyFill="1" applyBorder="1"/>
    <xf numFmtId="10" fontId="0" fillId="24" borderId="11" xfId="0" applyNumberFormat="1" applyFill="1" applyBorder="1"/>
    <xf numFmtId="0" fontId="0" fillId="24" borderId="54" xfId="0" applyFill="1" applyBorder="1"/>
    <xf numFmtId="0" fontId="12" fillId="24" borderId="54" xfId="0" applyFont="1" applyFill="1" applyBorder="1"/>
    <xf numFmtId="0" fontId="0" fillId="24" borderId="15" xfId="0" applyFill="1" applyBorder="1"/>
    <xf numFmtId="0" fontId="40" fillId="24" borderId="38" xfId="0" applyFont="1" applyFill="1" applyBorder="1" applyAlignment="1">
      <alignment horizontal="center"/>
    </xf>
    <xf numFmtId="0" fontId="12" fillId="24" borderId="60" xfId="0" applyFont="1" applyFill="1" applyBorder="1"/>
    <xf numFmtId="0" fontId="0" fillId="24" borderId="47" xfId="0" applyFill="1" applyBorder="1" applyAlignment="1">
      <alignment horizontal="center"/>
    </xf>
    <xf numFmtId="0" fontId="39" fillId="24" borderId="48" xfId="0" applyFont="1" applyFill="1" applyBorder="1" applyAlignment="1">
      <alignment horizontal="center"/>
    </xf>
    <xf numFmtId="0" fontId="12" fillId="24" borderId="48" xfId="0" applyFont="1" applyFill="1" applyBorder="1" applyAlignment="1">
      <alignment horizontal="center"/>
    </xf>
    <xf numFmtId="0" fontId="39" fillId="24" borderId="59" xfId="0" applyFont="1" applyFill="1" applyBorder="1" applyAlignment="1">
      <alignment horizontal="center"/>
    </xf>
    <xf numFmtId="0" fontId="12" fillId="24" borderId="35" xfId="0" applyFont="1" applyFill="1" applyBorder="1"/>
    <xf numFmtId="0" fontId="0" fillId="24" borderId="22" xfId="0" applyFill="1" applyBorder="1" applyAlignment="1">
      <alignment horizontal="center"/>
    </xf>
    <xf numFmtId="0" fontId="12" fillId="24" borderId="24" xfId="0" applyFont="1" applyFill="1" applyBorder="1" applyAlignment="1">
      <alignment wrapText="1"/>
    </xf>
    <xf numFmtId="0" fontId="12" fillId="24" borderId="24" xfId="0" applyFont="1" applyFill="1" applyBorder="1"/>
    <xf numFmtId="0" fontId="12" fillId="24" borderId="36" xfId="0" applyFont="1" applyFill="1" applyBorder="1"/>
    <xf numFmtId="0" fontId="0" fillId="24" borderId="41" xfId="0" applyFill="1" applyBorder="1" applyAlignment="1">
      <alignment horizontal="center"/>
    </xf>
    <xf numFmtId="0" fontId="0" fillId="24" borderId="5" xfId="0" applyFill="1" applyBorder="1" applyAlignment="1">
      <alignment horizontal="center"/>
    </xf>
    <xf numFmtId="0" fontId="39" fillId="24" borderId="40" xfId="0" applyFont="1" applyFill="1" applyBorder="1"/>
    <xf numFmtId="1" fontId="0" fillId="24" borderId="11" xfId="0" applyNumberFormat="1" applyFill="1" applyBorder="1"/>
    <xf numFmtId="1" fontId="0" fillId="24" borderId="24" xfId="0" applyNumberFormat="1" applyFill="1" applyBorder="1"/>
    <xf numFmtId="1" fontId="0" fillId="24" borderId="34" xfId="0" applyNumberFormat="1" applyFill="1" applyBorder="1"/>
    <xf numFmtId="0" fontId="0" fillId="24" borderId="44" xfId="0" applyFill="1" applyBorder="1"/>
    <xf numFmtId="9" fontId="53" fillId="0" borderId="41" xfId="56" applyFont="1" applyBorder="1" applyAlignment="1">
      <alignment horizontal="center" vertical="center"/>
    </xf>
    <xf numFmtId="9" fontId="51" fillId="0" borderId="0" xfId="56" applyFont="1" applyAlignment="1">
      <alignment horizontal="center" vertical="center"/>
    </xf>
    <xf numFmtId="167" fontId="53" fillId="0" borderId="5" xfId="56" applyNumberFormat="1" applyFont="1" applyBorder="1" applyAlignment="1">
      <alignment horizontal="center" vertical="center"/>
    </xf>
    <xf numFmtId="167" fontId="53" fillId="0" borderId="22" xfId="56" applyNumberFormat="1" applyFont="1" applyBorder="1" applyAlignment="1">
      <alignment horizontal="center" vertical="center"/>
    </xf>
    <xf numFmtId="10" fontId="53" fillId="0" borderId="41" xfId="56" applyNumberFormat="1" applyFont="1" applyBorder="1" applyAlignment="1">
      <alignment horizontal="center" vertical="center"/>
    </xf>
    <xf numFmtId="4" fontId="53" fillId="0" borderId="41" xfId="56" applyNumberFormat="1" applyFont="1" applyBorder="1" applyAlignment="1">
      <alignment horizontal="center" vertical="center"/>
    </xf>
    <xf numFmtId="4" fontId="53" fillId="0" borderId="5" xfId="56" applyNumberFormat="1" applyFont="1" applyBorder="1" applyAlignment="1">
      <alignment horizontal="center" vertical="center"/>
    </xf>
    <xf numFmtId="10" fontId="53" fillId="0" borderId="22" xfId="56" applyNumberFormat="1" applyFont="1" applyBorder="1" applyAlignment="1">
      <alignment horizontal="center" vertical="center"/>
    </xf>
    <xf numFmtId="4" fontId="53" fillId="0" borderId="22" xfId="56" applyNumberFormat="1" applyFont="1" applyBorder="1" applyAlignment="1">
      <alignment horizontal="center" vertical="center"/>
    </xf>
    <xf numFmtId="15" fontId="12" fillId="27" borderId="12" xfId="0" applyNumberFormat="1" applyFont="1" applyFill="1" applyBorder="1" applyAlignment="1">
      <alignment horizontal="center"/>
    </xf>
    <xf numFmtId="172" fontId="0" fillId="0" borderId="0" xfId="0" applyNumberFormat="1"/>
    <xf numFmtId="0" fontId="11" fillId="24" borderId="31" xfId="0" applyFont="1" applyFill="1" applyBorder="1"/>
    <xf numFmtId="0" fontId="11" fillId="24" borderId="23" xfId="0" applyFont="1" applyFill="1" applyBorder="1" applyAlignment="1">
      <alignment horizontal="center"/>
    </xf>
    <xf numFmtId="10" fontId="11" fillId="25" borderId="23" xfId="56" applyNumberFormat="1" applyFont="1" applyFill="1" applyBorder="1" applyAlignment="1">
      <alignment horizontal="center"/>
    </xf>
    <xf numFmtId="10" fontId="11" fillId="25" borderId="32" xfId="56" applyNumberFormat="1" applyFont="1" applyFill="1" applyBorder="1" applyAlignment="1">
      <alignment horizontal="center"/>
    </xf>
    <xf numFmtId="167" fontId="0" fillId="0" borderId="0" xfId="56" applyNumberFormat="1" applyFont="1"/>
    <xf numFmtId="0" fontId="11" fillId="24" borderId="33" xfId="0" applyFont="1" applyFill="1" applyBorder="1"/>
    <xf numFmtId="0" fontId="11" fillId="24" borderId="11" xfId="0" applyFont="1" applyFill="1" applyBorder="1" applyAlignment="1">
      <alignment horizontal="center"/>
    </xf>
    <xf numFmtId="10" fontId="11" fillId="25" borderId="11" xfId="56" applyNumberFormat="1" applyFont="1" applyFill="1" applyBorder="1" applyAlignment="1">
      <alignment horizontal="center"/>
    </xf>
    <xf numFmtId="10" fontId="11" fillId="25" borderId="34" xfId="56" applyNumberFormat="1" applyFont="1" applyFill="1" applyBorder="1" applyAlignment="1">
      <alignment horizontal="center"/>
    </xf>
    <xf numFmtId="0" fontId="11" fillId="24" borderId="35" xfId="0" applyFont="1" applyFill="1" applyBorder="1"/>
    <xf numFmtId="0" fontId="11" fillId="24" borderId="24" xfId="0" applyFont="1" applyFill="1" applyBorder="1" applyAlignment="1">
      <alignment horizontal="center"/>
    </xf>
    <xf numFmtId="10" fontId="11" fillId="25" borderId="24" xfId="0" applyNumberFormat="1" applyFont="1" applyFill="1" applyBorder="1" applyAlignment="1">
      <alignment horizontal="center"/>
    </xf>
    <xf numFmtId="10" fontId="11" fillId="25" borderId="24" xfId="56" applyNumberFormat="1" applyFont="1" applyFill="1" applyBorder="1" applyAlignment="1">
      <alignment horizontal="center"/>
    </xf>
    <xf numFmtId="10" fontId="11" fillId="25" borderId="36" xfId="56" applyNumberFormat="1" applyFont="1" applyFill="1" applyBorder="1" applyAlignment="1">
      <alignment horizontal="center"/>
    </xf>
    <xf numFmtId="0" fontId="11" fillId="24" borderId="0" xfId="0" applyFont="1" applyFill="1" applyAlignment="1">
      <alignment horizontal="center"/>
    </xf>
    <xf numFmtId="0" fontId="11" fillId="24" borderId="23" xfId="0" applyFont="1" applyFill="1" applyBorder="1"/>
    <xf numFmtId="0" fontId="11" fillId="24" borderId="0" xfId="0" applyFont="1" applyFill="1"/>
    <xf numFmtId="10" fontId="11" fillId="24" borderId="23" xfId="0" applyNumberFormat="1" applyFont="1" applyFill="1" applyBorder="1"/>
    <xf numFmtId="0" fontId="11" fillId="24" borderId="53" xfId="0" applyFont="1" applyFill="1" applyBorder="1"/>
    <xf numFmtId="0" fontId="12" fillId="24" borderId="33" xfId="0" applyFont="1" applyFill="1" applyBorder="1"/>
    <xf numFmtId="0" fontId="11" fillId="24" borderId="11" xfId="0" applyFont="1" applyFill="1" applyBorder="1"/>
    <xf numFmtId="0" fontId="11" fillId="24" borderId="42" xfId="0" applyFont="1" applyFill="1" applyBorder="1"/>
    <xf numFmtId="0" fontId="11" fillId="24" borderId="37" xfId="0" applyFont="1" applyFill="1" applyBorder="1"/>
    <xf numFmtId="0" fontId="11" fillId="24" borderId="38" xfId="0" applyFont="1" applyFill="1" applyBorder="1" applyAlignment="1">
      <alignment horizontal="center"/>
    </xf>
    <xf numFmtId="0" fontId="11" fillId="24" borderId="22" xfId="0" applyFont="1" applyFill="1" applyBorder="1" applyAlignment="1">
      <alignment horizontal="center" vertical="center"/>
    </xf>
    <xf numFmtId="0" fontId="12" fillId="24" borderId="24" xfId="0" applyFont="1" applyFill="1" applyBorder="1" applyAlignment="1">
      <alignment horizontal="center" vertical="center" wrapText="1"/>
    </xf>
    <xf numFmtId="0" fontId="12" fillId="24" borderId="24" xfId="0" applyFont="1" applyFill="1" applyBorder="1" applyAlignment="1">
      <alignment horizontal="center" vertical="center"/>
    </xf>
    <xf numFmtId="0" fontId="12" fillId="24" borderId="36" xfId="0" applyFont="1" applyFill="1" applyBorder="1" applyAlignment="1">
      <alignment horizontal="center" vertical="center"/>
    </xf>
    <xf numFmtId="0" fontId="11" fillId="24" borderId="41" xfId="0" applyFont="1" applyFill="1" applyBorder="1" applyAlignment="1">
      <alignment horizontal="center"/>
    </xf>
    <xf numFmtId="0" fontId="11" fillId="24" borderId="52" xfId="0" applyFont="1" applyFill="1" applyBorder="1" applyAlignment="1">
      <alignment horizontal="center"/>
    </xf>
    <xf numFmtId="0" fontId="11" fillId="24" borderId="5" xfId="0" applyFont="1" applyFill="1" applyBorder="1" applyAlignment="1">
      <alignment horizontal="center"/>
    </xf>
    <xf numFmtId="0" fontId="11" fillId="24" borderId="22" xfId="0" applyFont="1" applyFill="1" applyBorder="1" applyAlignment="1">
      <alignment horizontal="center"/>
    </xf>
    <xf numFmtId="0" fontId="11" fillId="24" borderId="58" xfId="0" applyFont="1" applyFill="1" applyBorder="1" applyAlignment="1">
      <alignment horizontal="center"/>
    </xf>
    <xf numFmtId="173" fontId="11" fillId="24" borderId="38" xfId="0" applyNumberFormat="1" applyFont="1" applyFill="1" applyBorder="1"/>
    <xf numFmtId="173" fontId="11" fillId="24" borderId="16" xfId="0" applyNumberFormat="1" applyFont="1" applyFill="1" applyBorder="1"/>
    <xf numFmtId="173" fontId="0" fillId="0" borderId="0" xfId="0" applyNumberFormat="1"/>
    <xf numFmtId="0" fontId="11" fillId="0" borderId="0" xfId="0" applyFont="1"/>
    <xf numFmtId="173" fontId="11" fillId="24" borderId="11" xfId="0" applyNumberFormat="1" applyFont="1" applyFill="1" applyBorder="1"/>
    <xf numFmtId="173" fontId="11" fillId="24" borderId="24" xfId="0" applyNumberFormat="1" applyFont="1" applyFill="1" applyBorder="1"/>
    <xf numFmtId="173" fontId="11" fillId="24" borderId="36" xfId="0" applyNumberFormat="1" applyFont="1" applyFill="1" applyBorder="1"/>
    <xf numFmtId="0" fontId="11" fillId="24" borderId="44" xfId="0" applyFont="1" applyFill="1" applyBorder="1"/>
    <xf numFmtId="0" fontId="11" fillId="24" borderId="54" xfId="0" applyFont="1" applyFill="1" applyBorder="1" applyAlignment="1">
      <alignment vertical="center"/>
    </xf>
    <xf numFmtId="0" fontId="11" fillId="24" borderId="0" xfId="0" applyFont="1" applyFill="1" applyAlignment="1">
      <alignment vertical="center"/>
    </xf>
    <xf numFmtId="0" fontId="11" fillId="24" borderId="18" xfId="0" applyFont="1" applyFill="1" applyBorder="1" applyAlignment="1">
      <alignment vertical="center"/>
    </xf>
    <xf numFmtId="0" fontId="11" fillId="24" borderId="20" xfId="0" applyFont="1" applyFill="1" applyBorder="1" applyAlignment="1">
      <alignment vertical="center"/>
    </xf>
    <xf numFmtId="0" fontId="11" fillId="24" borderId="15" xfId="0" applyFont="1" applyFill="1" applyBorder="1" applyAlignment="1">
      <alignment vertical="center"/>
    </xf>
    <xf numFmtId="0" fontId="11" fillId="24" borderId="39" xfId="0" applyFont="1" applyFill="1" applyBorder="1" applyAlignment="1">
      <alignment vertical="center"/>
    </xf>
    <xf numFmtId="0" fontId="42" fillId="24" borderId="58" xfId="0" applyFont="1" applyFill="1" applyBorder="1" applyAlignment="1">
      <alignment vertical="center"/>
    </xf>
    <xf numFmtId="0" fontId="42" fillId="24" borderId="38" xfId="0" applyFont="1" applyFill="1" applyBorder="1" applyAlignment="1">
      <alignment vertical="center"/>
    </xf>
    <xf numFmtId="0" fontId="42" fillId="24" borderId="68" xfId="0" applyFont="1" applyFill="1" applyBorder="1" applyAlignment="1">
      <alignment vertical="center"/>
    </xf>
    <xf numFmtId="0" fontId="11" fillId="24" borderId="55" xfId="0" applyFont="1" applyFill="1" applyBorder="1" applyAlignment="1">
      <alignment vertical="center"/>
    </xf>
    <xf numFmtId="0" fontId="11" fillId="24" borderId="54" xfId="0" applyFont="1" applyFill="1" applyBorder="1" applyAlignment="1">
      <alignment horizontal="left" vertical="center" indent="2"/>
    </xf>
    <xf numFmtId="174" fontId="11" fillId="0" borderId="0" xfId="0" applyNumberFormat="1" applyFont="1" applyAlignment="1">
      <alignment horizontal="right"/>
    </xf>
    <xf numFmtId="167" fontId="12" fillId="0" borderId="0" xfId="56" applyNumberFormat="1" applyFont="1" applyFill="1"/>
    <xf numFmtId="166" fontId="12" fillId="0" borderId="14" xfId="56" applyNumberFormat="1" applyFont="1" applyFill="1" applyBorder="1" applyAlignment="1">
      <alignment horizontal="center"/>
    </xf>
    <xf numFmtId="166" fontId="12" fillId="0" borderId="13" xfId="56" applyNumberFormat="1" applyFont="1" applyFill="1" applyBorder="1" applyAlignment="1">
      <alignment horizontal="center"/>
    </xf>
    <xf numFmtId="166" fontId="12" fillId="0" borderId="26" xfId="56" applyNumberFormat="1" applyFont="1" applyFill="1" applyBorder="1" applyAlignment="1">
      <alignment horizontal="center"/>
    </xf>
    <xf numFmtId="166" fontId="12" fillId="0" borderId="0" xfId="56" applyNumberFormat="1" applyFont="1" applyFill="1" applyBorder="1" applyAlignment="1">
      <alignment horizontal="center"/>
    </xf>
    <xf numFmtId="1" fontId="12" fillId="0" borderId="12" xfId="56" applyNumberFormat="1" applyFont="1" applyFill="1" applyBorder="1" applyAlignment="1">
      <alignment horizontal="center"/>
    </xf>
    <xf numFmtId="166" fontId="12" fillId="0" borderId="12" xfId="56" applyNumberFormat="1" applyFont="1" applyFill="1" applyBorder="1" applyAlignment="1">
      <alignment horizontal="center"/>
    </xf>
    <xf numFmtId="10" fontId="11" fillId="24" borderId="23" xfId="56" applyNumberFormat="1" applyFont="1" applyFill="1" applyBorder="1" applyAlignment="1">
      <alignment horizontal="center"/>
    </xf>
    <xf numFmtId="10" fontId="11" fillId="24" borderId="32" xfId="56" applyNumberFormat="1" applyFont="1" applyFill="1" applyBorder="1" applyAlignment="1">
      <alignment horizontal="center"/>
    </xf>
    <xf numFmtId="0" fontId="0" fillId="24" borderId="33" xfId="0" applyFill="1" applyBorder="1"/>
    <xf numFmtId="10" fontId="11" fillId="24" borderId="11" xfId="56" applyNumberFormat="1" applyFont="1" applyFill="1" applyBorder="1" applyAlignment="1">
      <alignment horizontal="center"/>
    </xf>
    <xf numFmtId="10" fontId="11" fillId="24" borderId="34" xfId="56" applyNumberFormat="1" applyFont="1" applyFill="1" applyBorder="1" applyAlignment="1">
      <alignment horizontal="center"/>
    </xf>
    <xf numFmtId="10" fontId="11" fillId="24" borderId="24" xfId="0" applyNumberFormat="1" applyFont="1" applyFill="1" applyBorder="1" applyAlignment="1">
      <alignment horizontal="center"/>
    </xf>
    <xf numFmtId="10" fontId="11" fillId="24" borderId="24" xfId="56" applyNumberFormat="1" applyFont="1" applyFill="1" applyBorder="1" applyAlignment="1">
      <alignment horizontal="center"/>
    </xf>
    <xf numFmtId="10" fontId="11" fillId="24" borderId="36" xfId="56" applyNumberFormat="1" applyFont="1" applyFill="1" applyBorder="1" applyAlignment="1">
      <alignment horizontal="center"/>
    </xf>
    <xf numFmtId="0" fontId="0" fillId="24" borderId="34" xfId="0" applyFill="1" applyBorder="1"/>
    <xf numFmtId="167" fontId="12" fillId="0" borderId="0" xfId="56" applyNumberFormat="1" applyFont="1"/>
    <xf numFmtId="1" fontId="11" fillId="24" borderId="11" xfId="0" applyNumberFormat="1" applyFont="1" applyFill="1" applyBorder="1"/>
    <xf numFmtId="1" fontId="11" fillId="24" borderId="34" xfId="0" applyNumberFormat="1" applyFont="1" applyFill="1" applyBorder="1"/>
    <xf numFmtId="0" fontId="70" fillId="27" borderId="12" xfId="202" applyFont="1" applyFill="1" applyBorder="1"/>
    <xf numFmtId="0" fontId="9" fillId="0" borderId="0" xfId="203"/>
    <xf numFmtId="0" fontId="73" fillId="0" borderId="0" xfId="202" applyFont="1" applyAlignment="1">
      <alignment horizontal="center" vertical="center"/>
    </xf>
    <xf numFmtId="164" fontId="73" fillId="0" borderId="0" xfId="204" applyFont="1" applyAlignment="1">
      <alignment horizontal="center" vertical="center"/>
    </xf>
    <xf numFmtId="164" fontId="0" fillId="0" borderId="0" xfId="204" applyFont="1"/>
    <xf numFmtId="0" fontId="74" fillId="0" borderId="0" xfId="202" applyFont="1" applyAlignment="1">
      <alignment horizontal="center" vertical="center"/>
    </xf>
    <xf numFmtId="164" fontId="74" fillId="0" borderId="0" xfId="204" applyFont="1" applyAlignment="1">
      <alignment horizontal="center" vertical="center"/>
    </xf>
    <xf numFmtId="0" fontId="75" fillId="0" borderId="0" xfId="202" applyFont="1" applyAlignment="1">
      <alignment horizontal="center" vertical="center"/>
    </xf>
    <xf numFmtId="164" fontId="75" fillId="0" borderId="0" xfId="204" applyFont="1" applyAlignment="1">
      <alignment horizontal="center" vertical="center"/>
    </xf>
    <xf numFmtId="0" fontId="76" fillId="0" borderId="0" xfId="202" applyFont="1" applyAlignment="1">
      <alignment horizontal="center" vertical="center"/>
    </xf>
    <xf numFmtId="164" fontId="76" fillId="0" borderId="0" xfId="204" applyFont="1" applyBorder="1" applyAlignment="1">
      <alignment horizontal="center" vertical="center"/>
    </xf>
    <xf numFmtId="0" fontId="75" fillId="0" borderId="0" xfId="202" applyFont="1" applyAlignment="1">
      <alignment horizontal="left"/>
    </xf>
    <xf numFmtId="0" fontId="70" fillId="32" borderId="71" xfId="202" applyFont="1" applyFill="1" applyBorder="1" applyAlignment="1">
      <alignment horizontal="center" vertical="center" wrapText="1"/>
    </xf>
    <xf numFmtId="4" fontId="70" fillId="32" borderId="72" xfId="202" applyNumberFormat="1" applyFont="1" applyFill="1" applyBorder="1" applyAlignment="1">
      <alignment horizontal="center" vertical="center" wrapText="1"/>
    </xf>
    <xf numFmtId="177" fontId="70" fillId="32" borderId="72" xfId="202" applyNumberFormat="1" applyFont="1" applyFill="1" applyBorder="1" applyAlignment="1">
      <alignment horizontal="center" vertical="center" wrapText="1"/>
    </xf>
    <xf numFmtId="164" fontId="70" fillId="32" borderId="73" xfId="204" applyFont="1" applyFill="1" applyBorder="1" applyAlignment="1">
      <alignment horizontal="center" vertical="center" wrapText="1"/>
    </xf>
    <xf numFmtId="164" fontId="70" fillId="32" borderId="74" xfId="204" applyFont="1" applyFill="1" applyBorder="1" applyAlignment="1">
      <alignment horizontal="center" vertical="center" wrapText="1"/>
    </xf>
    <xf numFmtId="0" fontId="70" fillId="31" borderId="75" xfId="202" applyFont="1" applyFill="1" applyBorder="1"/>
    <xf numFmtId="178" fontId="70" fillId="0" borderId="75" xfId="202" applyNumberFormat="1" applyFont="1" applyBorder="1"/>
    <xf numFmtId="164" fontId="70" fillId="0" borderId="76" xfId="204" applyFont="1" applyFill="1" applyBorder="1" applyAlignment="1"/>
    <xf numFmtId="164" fontId="70" fillId="0" borderId="77" xfId="204" applyFont="1" applyFill="1" applyBorder="1" applyAlignment="1"/>
    <xf numFmtId="0" fontId="77" fillId="0" borderId="78" xfId="202" applyFont="1" applyBorder="1"/>
    <xf numFmtId="178" fontId="77" fillId="0" borderId="78" xfId="202" applyNumberFormat="1" applyFont="1" applyBorder="1"/>
    <xf numFmtId="164" fontId="0" fillId="0" borderId="11" xfId="204" applyFont="1" applyBorder="1"/>
    <xf numFmtId="0" fontId="77" fillId="0" borderId="79" xfId="202" applyFont="1" applyBorder="1"/>
    <xf numFmtId="178" fontId="77" fillId="0" borderId="79" xfId="202" applyNumberFormat="1" applyFont="1" applyBorder="1"/>
    <xf numFmtId="0" fontId="70" fillId="31" borderId="80" xfId="202" applyFont="1" applyFill="1" applyBorder="1"/>
    <xf numFmtId="178" fontId="70" fillId="31" borderId="80" xfId="202" applyNumberFormat="1" applyFont="1" applyFill="1" applyBorder="1"/>
    <xf numFmtId="164" fontId="70" fillId="31" borderId="80" xfId="204" applyFont="1" applyFill="1" applyBorder="1" applyAlignment="1"/>
    <xf numFmtId="164" fontId="70" fillId="31" borderId="12" xfId="204" applyFont="1" applyFill="1" applyBorder="1" applyAlignment="1"/>
    <xf numFmtId="0" fontId="77" fillId="0" borderId="12" xfId="202" applyFont="1" applyBorder="1"/>
    <xf numFmtId="178" fontId="77" fillId="0" borderId="12" xfId="202" applyNumberFormat="1" applyFont="1" applyBorder="1"/>
    <xf numFmtId="164" fontId="77" fillId="0" borderId="61" xfId="204" applyFont="1" applyFill="1" applyBorder="1" applyAlignment="1"/>
    <xf numFmtId="164" fontId="70" fillId="0" borderId="12" xfId="204" applyFont="1" applyFill="1" applyBorder="1" applyAlignment="1"/>
    <xf numFmtId="0" fontId="70" fillId="32" borderId="81" xfId="202" applyFont="1" applyFill="1" applyBorder="1" applyAlignment="1">
      <alignment horizontal="center" vertical="center" wrapText="1"/>
    </xf>
    <xf numFmtId="164" fontId="70" fillId="32" borderId="82" xfId="204" applyFont="1" applyFill="1" applyBorder="1" applyAlignment="1">
      <alignment horizontal="center" vertical="center" wrapText="1"/>
    </xf>
    <xf numFmtId="0" fontId="70" fillId="31" borderId="83" xfId="202" applyFont="1" applyFill="1" applyBorder="1"/>
    <xf numFmtId="0" fontId="70" fillId="0" borderId="83" xfId="202" applyFont="1" applyBorder="1"/>
    <xf numFmtId="164" fontId="70" fillId="0" borderId="84" xfId="204" applyFont="1" applyBorder="1"/>
    <xf numFmtId="164" fontId="70" fillId="0" borderId="85" xfId="204" applyFont="1" applyBorder="1"/>
    <xf numFmtId="0" fontId="70" fillId="31" borderId="86" xfId="202" applyFont="1" applyFill="1" applyBorder="1"/>
    <xf numFmtId="0" fontId="71" fillId="0" borderId="86" xfId="202" applyFont="1" applyBorder="1"/>
    <xf numFmtId="164" fontId="71" fillId="0" borderId="87" xfId="204" applyFont="1" applyBorder="1"/>
    <xf numFmtId="164" fontId="71" fillId="0" borderId="11" xfId="204" applyFont="1" applyBorder="1"/>
    <xf numFmtId="0" fontId="71" fillId="0" borderId="72" xfId="202" applyFont="1" applyBorder="1"/>
    <xf numFmtId="164" fontId="77" fillId="0" borderId="73" xfId="204" applyFont="1" applyFill="1" applyBorder="1" applyAlignment="1"/>
    <xf numFmtId="164" fontId="70" fillId="0" borderId="82" xfId="204" applyFont="1" applyFill="1" applyBorder="1" applyAlignment="1"/>
    <xf numFmtId="0" fontId="70" fillId="32" borderId="88" xfId="202" applyFont="1" applyFill="1" applyBorder="1" applyAlignment="1">
      <alignment horizontal="center" vertical="center" wrapText="1"/>
    </xf>
    <xf numFmtId="4" fontId="70" fillId="32" borderId="83" xfId="202" applyNumberFormat="1" applyFont="1" applyFill="1" applyBorder="1" applyAlignment="1">
      <alignment horizontal="center" vertical="center" wrapText="1"/>
    </xf>
    <xf numFmtId="177" fontId="70" fillId="32" borderId="83" xfId="202" applyNumberFormat="1" applyFont="1" applyFill="1" applyBorder="1" applyAlignment="1">
      <alignment horizontal="center" vertical="center" wrapText="1"/>
    </xf>
    <xf numFmtId="164" fontId="70" fillId="32" borderId="84" xfId="204" applyFont="1" applyFill="1" applyBorder="1" applyAlignment="1">
      <alignment horizontal="center" vertical="center" wrapText="1"/>
    </xf>
    <xf numFmtId="164" fontId="70" fillId="32" borderId="85" xfId="204" applyFont="1" applyFill="1" applyBorder="1" applyAlignment="1">
      <alignment horizontal="center" vertical="center" wrapText="1"/>
    </xf>
    <xf numFmtId="0" fontId="70" fillId="31" borderId="89" xfId="202" applyFont="1" applyFill="1" applyBorder="1"/>
    <xf numFmtId="4" fontId="77" fillId="0" borderId="89" xfId="202" applyNumberFormat="1" applyFont="1" applyBorder="1" applyAlignment="1">
      <alignment horizontal="center"/>
    </xf>
    <xf numFmtId="177" fontId="77" fillId="0" borderId="89" xfId="202" applyNumberFormat="1" applyFont="1" applyBorder="1" applyAlignment="1">
      <alignment horizontal="center"/>
    </xf>
    <xf numFmtId="164" fontId="70" fillId="0" borderId="90" xfId="204" applyFont="1" applyFill="1" applyBorder="1" applyAlignment="1"/>
    <xf numFmtId="164" fontId="70" fillId="0" borderId="91" xfId="204" applyFont="1" applyFill="1" applyBorder="1" applyAlignment="1"/>
    <xf numFmtId="0" fontId="70" fillId="0" borderId="86" xfId="202" applyFont="1" applyBorder="1"/>
    <xf numFmtId="4" fontId="71" fillId="0" borderId="86" xfId="202" applyNumberFormat="1" applyFont="1" applyBorder="1" applyAlignment="1">
      <alignment horizontal="center"/>
    </xf>
    <xf numFmtId="164" fontId="0" fillId="0" borderId="24" xfId="204" applyFont="1" applyBorder="1"/>
    <xf numFmtId="0" fontId="70" fillId="31" borderId="61" xfId="202" applyFont="1" applyFill="1" applyBorder="1"/>
    <xf numFmtId="178" fontId="70" fillId="31" borderId="62" xfId="202" applyNumberFormat="1" applyFont="1" applyFill="1" applyBorder="1"/>
    <xf numFmtId="164" fontId="70" fillId="31" borderId="41" xfId="204" applyFont="1" applyFill="1" applyBorder="1" applyAlignment="1"/>
    <xf numFmtId="164" fontId="71" fillId="0" borderId="87" xfId="204" applyFont="1" applyFill="1" applyBorder="1" applyAlignment="1"/>
    <xf numFmtId="164" fontId="71" fillId="0" borderId="23" xfId="204" applyFont="1" applyFill="1" applyBorder="1" applyAlignment="1"/>
    <xf numFmtId="164" fontId="71" fillId="0" borderId="11" xfId="204" applyFont="1" applyFill="1" applyBorder="1" applyAlignment="1"/>
    <xf numFmtId="164" fontId="71" fillId="0" borderId="24" xfId="204" applyFont="1" applyFill="1" applyBorder="1" applyAlignment="1"/>
    <xf numFmtId="4" fontId="70" fillId="32" borderId="92" xfId="202" applyNumberFormat="1" applyFont="1" applyFill="1" applyBorder="1" applyAlignment="1">
      <alignment horizontal="center" vertical="center" wrapText="1"/>
    </xf>
    <xf numFmtId="177" fontId="70" fillId="32" borderId="92" xfId="202" applyNumberFormat="1" applyFont="1" applyFill="1" applyBorder="1" applyAlignment="1">
      <alignment horizontal="center" vertical="center" wrapText="1"/>
    </xf>
    <xf numFmtId="164" fontId="70" fillId="32" borderId="93" xfId="204" applyFont="1" applyFill="1" applyBorder="1" applyAlignment="1">
      <alignment horizontal="center" vertical="center" wrapText="1"/>
    </xf>
    <xf numFmtId="164" fontId="70" fillId="32" borderId="94" xfId="204" applyFont="1" applyFill="1" applyBorder="1" applyAlignment="1">
      <alignment horizontal="center" vertical="center" wrapText="1"/>
    </xf>
    <xf numFmtId="164" fontId="70" fillId="32" borderId="95" xfId="204" applyFont="1" applyFill="1" applyBorder="1" applyAlignment="1">
      <alignment horizontal="center" vertical="center" wrapText="1"/>
    </xf>
    <xf numFmtId="0" fontId="70" fillId="0" borderId="96" xfId="202" applyFont="1" applyBorder="1"/>
    <xf numFmtId="4" fontId="71" fillId="0" borderId="97" xfId="202" applyNumberFormat="1" applyFont="1" applyBorder="1" applyAlignment="1">
      <alignment horizontal="center"/>
    </xf>
    <xf numFmtId="0" fontId="70" fillId="0" borderId="98" xfId="202" applyFont="1" applyBorder="1"/>
    <xf numFmtId="0" fontId="70" fillId="0" borderId="99" xfId="202" applyFont="1" applyBorder="1"/>
    <xf numFmtId="4" fontId="71" fillId="0" borderId="100" xfId="202" applyNumberFormat="1" applyFont="1" applyBorder="1" applyAlignment="1">
      <alignment horizontal="center"/>
    </xf>
    <xf numFmtId="164" fontId="71" fillId="0" borderId="101" xfId="204" applyFont="1" applyFill="1" applyBorder="1" applyAlignment="1"/>
    <xf numFmtId="164" fontId="71" fillId="27" borderId="12" xfId="204" applyFont="1" applyFill="1" applyBorder="1" applyAlignment="1"/>
    <xf numFmtId="164" fontId="72" fillId="27" borderId="12" xfId="204" applyFont="1" applyFill="1" applyBorder="1" applyAlignment="1"/>
    <xf numFmtId="164" fontId="0" fillId="27" borderId="12" xfId="204" applyFont="1" applyFill="1" applyBorder="1"/>
    <xf numFmtId="0" fontId="11" fillId="0" borderId="0" xfId="202"/>
    <xf numFmtId="4" fontId="78" fillId="0" borderId="0" xfId="202" applyNumberFormat="1" applyFont="1"/>
    <xf numFmtId="177" fontId="78" fillId="0" borderId="0" xfId="202" applyNumberFormat="1" applyFont="1" applyAlignment="1">
      <alignment horizontal="center"/>
    </xf>
    <xf numFmtId="164" fontId="78" fillId="0" borderId="0" xfId="204" applyFont="1" applyFill="1"/>
    <xf numFmtId="10" fontId="78" fillId="0" borderId="0" xfId="202" applyNumberFormat="1" applyFont="1"/>
    <xf numFmtId="164" fontId="78" fillId="0" borderId="0" xfId="204" applyFont="1" applyFill="1" applyBorder="1"/>
    <xf numFmtId="4" fontId="78" fillId="0" borderId="0" xfId="202" applyNumberFormat="1" applyFont="1" applyAlignment="1">
      <alignment horizontal="center"/>
    </xf>
    <xf numFmtId="4" fontId="70" fillId="0" borderId="0" xfId="202" applyNumberFormat="1" applyFont="1" applyAlignment="1">
      <alignment horizontal="center"/>
    </xf>
    <xf numFmtId="0" fontId="47" fillId="0" borderId="0" xfId="169" applyFont="1" applyAlignment="1">
      <alignment horizontal="center" vertical="center"/>
    </xf>
    <xf numFmtId="0" fontId="47" fillId="0" borderId="0" xfId="169" applyFont="1" applyAlignment="1">
      <alignment horizontal="left" vertical="center"/>
    </xf>
    <xf numFmtId="0" fontId="51" fillId="0" borderId="0" xfId="169" applyFont="1" applyAlignment="1">
      <alignment horizontal="center" vertical="center"/>
    </xf>
    <xf numFmtId="0" fontId="48" fillId="0" borderId="22" xfId="169" applyFont="1" applyBorder="1" applyAlignment="1">
      <alignment horizontal="left" vertical="center"/>
    </xf>
    <xf numFmtId="0" fontId="48" fillId="27" borderId="18" xfId="169" applyFont="1" applyFill="1" applyBorder="1" applyAlignment="1">
      <alignment horizontal="centerContinuous" vertical="center"/>
    </xf>
    <xf numFmtId="0" fontId="52" fillId="27" borderId="52" xfId="169" applyFont="1" applyFill="1" applyBorder="1" applyAlignment="1">
      <alignment horizontal="centerContinuous" vertical="center"/>
    </xf>
    <xf numFmtId="0" fontId="52" fillId="28" borderId="18" xfId="169" applyFont="1" applyFill="1" applyBorder="1" applyAlignment="1">
      <alignment horizontal="centerContinuous" vertical="center"/>
    </xf>
    <xf numFmtId="0" fontId="52" fillId="28" borderId="52" xfId="169" applyFont="1" applyFill="1" applyBorder="1" applyAlignment="1">
      <alignment horizontal="centerContinuous" vertical="center"/>
    </xf>
    <xf numFmtId="0" fontId="52" fillId="28" borderId="52" xfId="169" applyFont="1" applyFill="1" applyBorder="1" applyAlignment="1">
      <alignment horizontal="center" vertical="center"/>
    </xf>
    <xf numFmtId="0" fontId="48" fillId="0" borderId="61" xfId="169" applyFont="1" applyBorder="1" applyAlignment="1">
      <alignment horizontal="center" vertical="center"/>
    </xf>
    <xf numFmtId="172" fontId="48" fillId="27" borderId="61" xfId="169" applyNumberFormat="1" applyFont="1" applyFill="1" applyBorder="1" applyAlignment="1">
      <alignment horizontal="right" vertical="center"/>
    </xf>
    <xf numFmtId="167" fontId="53" fillId="0" borderId="41" xfId="56" applyNumberFormat="1" applyFont="1" applyBorder="1" applyAlignment="1">
      <alignment horizontal="center" vertical="center"/>
    </xf>
    <xf numFmtId="172" fontId="54" fillId="28" borderId="61" xfId="169" applyNumberFormat="1" applyFont="1" applyFill="1" applyBorder="1" applyAlignment="1">
      <alignment horizontal="center" vertical="center"/>
    </xf>
    <xf numFmtId="0" fontId="52" fillId="28" borderId="41" xfId="169" applyFont="1" applyFill="1" applyBorder="1" applyAlignment="1">
      <alignment horizontal="center" vertical="center"/>
    </xf>
    <xf numFmtId="0" fontId="51" fillId="0" borderId="0" xfId="169" applyFont="1" applyAlignment="1">
      <alignment horizontal="right" vertical="center"/>
    </xf>
    <xf numFmtId="172" fontId="55" fillId="0" borderId="0" xfId="169" applyNumberFormat="1" applyFont="1" applyAlignment="1">
      <alignment horizontal="center" vertical="center"/>
    </xf>
    <xf numFmtId="0" fontId="48" fillId="0" borderId="20" xfId="169" applyFont="1" applyBorder="1" applyAlignment="1">
      <alignment horizontal="center" vertical="center"/>
    </xf>
    <xf numFmtId="172" fontId="49" fillId="27" borderId="20" xfId="169" applyNumberFormat="1" applyFont="1" applyFill="1" applyBorder="1" applyAlignment="1">
      <alignment horizontal="right" vertical="center"/>
    </xf>
    <xf numFmtId="167" fontId="53" fillId="0" borderId="52" xfId="56" applyNumberFormat="1" applyFont="1" applyBorder="1" applyAlignment="1">
      <alignment horizontal="center" vertical="center"/>
    </xf>
    <xf numFmtId="172" fontId="56" fillId="28" borderId="20" xfId="169" applyNumberFormat="1" applyFont="1" applyFill="1" applyBorder="1" applyAlignment="1">
      <alignment horizontal="center" vertical="center"/>
    </xf>
    <xf numFmtId="174" fontId="56" fillId="28" borderId="5" xfId="169" applyNumberFormat="1" applyFont="1" applyFill="1" applyBorder="1" applyAlignment="1">
      <alignment horizontal="center" vertical="center"/>
    </xf>
    <xf numFmtId="0" fontId="48" fillId="0" borderId="19" xfId="169" applyFont="1" applyBorder="1" applyAlignment="1">
      <alignment horizontal="center" vertical="center"/>
    </xf>
    <xf numFmtId="172" fontId="49" fillId="27" borderId="19" xfId="169" applyNumberFormat="1" applyFont="1" applyFill="1" applyBorder="1" applyAlignment="1">
      <alignment horizontal="right" vertical="center"/>
    </xf>
    <xf numFmtId="172" fontId="56" fillId="28" borderId="19" xfId="169" applyNumberFormat="1" applyFont="1" applyFill="1" applyBorder="1" applyAlignment="1">
      <alignment horizontal="center" vertical="center"/>
    </xf>
    <xf numFmtId="174" fontId="56" fillId="28" borderId="22" xfId="169" applyNumberFormat="1" applyFont="1" applyFill="1" applyBorder="1" applyAlignment="1">
      <alignment horizontal="center" vertical="center"/>
    </xf>
    <xf numFmtId="0" fontId="49" fillId="0" borderId="0" xfId="169" applyFont="1" applyAlignment="1">
      <alignment horizontal="center" vertical="center"/>
    </xf>
    <xf numFmtId="167" fontId="51" fillId="0" borderId="0" xfId="169" applyNumberFormat="1" applyFont="1" applyAlignment="1">
      <alignment horizontal="center" vertical="center"/>
    </xf>
    <xf numFmtId="0" fontId="51" fillId="0" borderId="0" xfId="169" applyFont="1" applyAlignment="1">
      <alignment horizontal="left" vertical="center"/>
    </xf>
    <xf numFmtId="172" fontId="49" fillId="27" borderId="0" xfId="169" applyNumberFormat="1" applyFont="1" applyFill="1" applyAlignment="1">
      <alignment horizontal="center" vertical="center"/>
    </xf>
    <xf numFmtId="0" fontId="48" fillId="0" borderId="0" xfId="169" applyFont="1" applyAlignment="1">
      <alignment horizontal="center" vertical="center"/>
    </xf>
    <xf numFmtId="174" fontId="56" fillId="28" borderId="41" xfId="169" applyNumberFormat="1" applyFont="1" applyFill="1" applyBorder="1" applyAlignment="1">
      <alignment horizontal="center" vertical="center"/>
    </xf>
    <xf numFmtId="0" fontId="57" fillId="0" borderId="0" xfId="169" applyFont="1" applyAlignment="1">
      <alignment horizontal="left" vertical="center" indent="1"/>
    </xf>
    <xf numFmtId="0" fontId="58" fillId="29" borderId="64" xfId="169" applyFont="1" applyFill="1" applyBorder="1" applyAlignment="1">
      <alignment horizontal="center" vertical="center"/>
    </xf>
    <xf numFmtId="0" fontId="58" fillId="29" borderId="65" xfId="169" applyFont="1" applyFill="1" applyBorder="1" applyAlignment="1">
      <alignment horizontal="center" vertical="center"/>
    </xf>
    <xf numFmtId="0" fontId="58" fillId="29" borderId="62" xfId="169" applyFont="1" applyFill="1" applyBorder="1" applyAlignment="1">
      <alignment horizontal="center" vertical="center"/>
    </xf>
    <xf numFmtId="0" fontId="58" fillId="29" borderId="66" xfId="169" applyFont="1" applyFill="1" applyBorder="1" applyAlignment="1">
      <alignment horizontal="center" vertical="center"/>
    </xf>
    <xf numFmtId="0" fontId="59" fillId="29" borderId="67" xfId="169" applyFont="1" applyFill="1" applyBorder="1" applyAlignment="1">
      <alignment horizontal="center" vertical="center"/>
    </xf>
    <xf numFmtId="0" fontId="52" fillId="0" borderId="23" xfId="169" applyFont="1" applyBorder="1" applyAlignment="1">
      <alignment horizontal="center" vertical="center"/>
    </xf>
    <xf numFmtId="172" fontId="56" fillId="0" borderId="51" xfId="169" applyNumberFormat="1" applyFont="1" applyBorder="1" applyAlignment="1">
      <alignment horizontal="center" vertical="center"/>
    </xf>
    <xf numFmtId="172" fontId="56" fillId="0" borderId="23" xfId="169" applyNumberFormat="1" applyFont="1" applyBorder="1" applyAlignment="1">
      <alignment horizontal="center" vertical="center"/>
    </xf>
    <xf numFmtId="174" fontId="64" fillId="0" borderId="0" xfId="169" applyNumberFormat="1" applyFont="1" applyAlignment="1">
      <alignment horizontal="right" vertical="center"/>
    </xf>
    <xf numFmtId="0" fontId="52" fillId="0" borderId="24" xfId="169" applyFont="1" applyBorder="1" applyAlignment="1">
      <alignment horizontal="center" vertical="center"/>
    </xf>
    <xf numFmtId="172" fontId="56" fillId="0" borderId="21" xfId="169" applyNumberFormat="1" applyFont="1" applyBorder="1" applyAlignment="1">
      <alignment horizontal="center" vertical="center"/>
    </xf>
    <xf numFmtId="172" fontId="56" fillId="0" borderId="24" xfId="169" applyNumberFormat="1" applyFont="1" applyBorder="1" applyAlignment="1">
      <alignment horizontal="center" vertical="center"/>
    </xf>
    <xf numFmtId="0" fontId="57" fillId="0" borderId="0" xfId="169" applyFont="1" applyAlignment="1">
      <alignment horizontal="center" vertical="center"/>
    </xf>
    <xf numFmtId="0" fontId="57" fillId="0" borderId="0" xfId="169" applyFont="1" applyAlignment="1">
      <alignment horizontal="left" vertical="center"/>
    </xf>
    <xf numFmtId="0" fontId="57" fillId="0" borderId="61" xfId="169" applyFont="1" applyBorder="1" applyAlignment="1">
      <alignment horizontal="center" vertical="center" wrapText="1"/>
    </xf>
    <xf numFmtId="0" fontId="57" fillId="0" borderId="62" xfId="169" applyFont="1" applyBorder="1" applyAlignment="1">
      <alignment horizontal="center" vertical="center" wrapText="1"/>
    </xf>
    <xf numFmtId="0" fontId="57" fillId="0" borderId="12" xfId="169" applyFont="1" applyBorder="1" applyAlignment="1">
      <alignment horizontal="center" vertical="center" wrapText="1"/>
    </xf>
    <xf numFmtId="0" fontId="57" fillId="0" borderId="41" xfId="169" applyFont="1" applyBorder="1" applyAlignment="1">
      <alignment horizontal="center" vertical="center" wrapText="1"/>
    </xf>
    <xf numFmtId="0" fontId="57" fillId="0" borderId="61" xfId="169" applyFont="1" applyBorder="1" applyAlignment="1">
      <alignment horizontal="center" vertical="center"/>
    </xf>
    <xf numFmtId="0" fontId="57" fillId="0" borderId="62" xfId="169" applyFont="1" applyBorder="1" applyAlignment="1">
      <alignment horizontal="center" vertical="center"/>
    </xf>
    <xf numFmtId="0" fontId="57" fillId="0" borderId="12" xfId="169" applyFont="1" applyBorder="1" applyAlignment="1">
      <alignment horizontal="center" vertical="center"/>
    </xf>
    <xf numFmtId="0" fontId="57" fillId="0" borderId="41" xfId="169" applyFont="1" applyBorder="1" applyAlignment="1">
      <alignment horizontal="center" vertical="center"/>
    </xf>
    <xf numFmtId="0" fontId="60" fillId="28" borderId="20" xfId="169" applyFont="1" applyFill="1" applyBorder="1" applyAlignment="1">
      <alignment horizontal="left" vertical="center"/>
    </xf>
    <xf numFmtId="0" fontId="60" fillId="28" borderId="0" xfId="169" applyFont="1" applyFill="1" applyAlignment="1">
      <alignment horizontal="center" vertical="center"/>
    </xf>
    <xf numFmtId="0" fontId="60" fillId="28" borderId="11" xfId="169" applyFont="1" applyFill="1" applyBorder="1" applyAlignment="1">
      <alignment horizontal="center" vertical="center"/>
    </xf>
    <xf numFmtId="2" fontId="61" fillId="28" borderId="5" xfId="169" applyNumberFormat="1" applyFont="1" applyFill="1" applyBorder="1" applyAlignment="1">
      <alignment horizontal="center" vertical="center"/>
    </xf>
    <xf numFmtId="1" fontId="61" fillId="28" borderId="5" xfId="169" applyNumberFormat="1" applyFont="1" applyFill="1" applyBorder="1" applyAlignment="1">
      <alignment horizontal="center" vertical="center"/>
    </xf>
    <xf numFmtId="0" fontId="51" fillId="0" borderId="20" xfId="169" applyFont="1" applyBorder="1" applyAlignment="1">
      <alignment horizontal="left" vertical="center" indent="2"/>
    </xf>
    <xf numFmtId="0" fontId="51" fillId="0" borderId="11" xfId="169" applyFont="1" applyBorder="1" applyAlignment="1">
      <alignment horizontal="center" vertical="center"/>
    </xf>
    <xf numFmtId="2" fontId="51" fillId="0" borderId="5" xfId="169" applyNumberFormat="1" applyFont="1" applyBorder="1" applyAlignment="1">
      <alignment horizontal="center" vertical="center"/>
    </xf>
    <xf numFmtId="1" fontId="51" fillId="0" borderId="5" xfId="169" applyNumberFormat="1" applyFont="1" applyBorder="1" applyAlignment="1">
      <alignment horizontal="center" vertical="center"/>
    </xf>
    <xf numFmtId="0" fontId="61" fillId="0" borderId="20" xfId="169" applyFont="1" applyBorder="1" applyAlignment="1">
      <alignment horizontal="left" vertical="center" indent="1"/>
    </xf>
    <xf numFmtId="0" fontId="51" fillId="0" borderId="5" xfId="169" applyFont="1" applyBorder="1" applyAlignment="1">
      <alignment horizontal="center" vertical="center"/>
    </xf>
    <xf numFmtId="0" fontId="51" fillId="0" borderId="20" xfId="169" applyFont="1" applyBorder="1" applyAlignment="1">
      <alignment horizontal="center" vertical="center"/>
    </xf>
    <xf numFmtId="0" fontId="51" fillId="0" borderId="19" xfId="169" applyFont="1" applyBorder="1" applyAlignment="1">
      <alignment horizontal="left" vertical="center" indent="3"/>
    </xf>
    <xf numFmtId="0" fontId="51" fillId="0" borderId="21" xfId="169" applyFont="1" applyBorder="1" applyAlignment="1">
      <alignment horizontal="center" vertical="center"/>
    </xf>
    <xf numFmtId="0" fontId="51" fillId="0" borderId="24" xfId="169" applyFont="1" applyBorder="1" applyAlignment="1">
      <alignment horizontal="center" vertical="center"/>
    </xf>
    <xf numFmtId="2" fontId="51" fillId="0" borderId="22" xfId="169" applyNumberFormat="1" applyFont="1" applyBorder="1" applyAlignment="1">
      <alignment horizontal="center" vertical="center"/>
    </xf>
    <xf numFmtId="0" fontId="60" fillId="28" borderId="18" xfId="169" applyFont="1" applyFill="1" applyBorder="1" applyAlignment="1">
      <alignment horizontal="left" vertical="center"/>
    </xf>
    <xf numFmtId="0" fontId="60" fillId="28" borderId="51" xfId="169" applyFont="1" applyFill="1" applyBorder="1" applyAlignment="1">
      <alignment horizontal="center" vertical="center"/>
    </xf>
    <xf numFmtId="0" fontId="60" fillId="28" borderId="23" xfId="169" applyFont="1" applyFill="1" applyBorder="1" applyAlignment="1">
      <alignment horizontal="center" vertical="center"/>
    </xf>
    <xf numFmtId="2" fontId="61" fillId="28" borderId="52" xfId="169" applyNumberFormat="1" applyFont="1" applyFill="1" applyBorder="1" applyAlignment="1">
      <alignment horizontal="center" vertical="center"/>
    </xf>
    <xf numFmtId="1" fontId="61" fillId="28" borderId="52" xfId="169" applyNumberFormat="1" applyFont="1" applyFill="1" applyBorder="1" applyAlignment="1">
      <alignment horizontal="center" vertical="center"/>
    </xf>
    <xf numFmtId="0" fontId="51" fillId="0" borderId="20" xfId="169" applyFont="1" applyBorder="1" applyAlignment="1">
      <alignment horizontal="left" vertical="center" indent="3"/>
    </xf>
    <xf numFmtId="0" fontId="51" fillId="0" borderId="19" xfId="169" applyFont="1" applyBorder="1" applyAlignment="1">
      <alignment horizontal="center" vertical="center"/>
    </xf>
    <xf numFmtId="0" fontId="51" fillId="0" borderId="22" xfId="169" applyFont="1" applyBorder="1" applyAlignment="1">
      <alignment horizontal="center" vertical="center"/>
    </xf>
    <xf numFmtId="1" fontId="51" fillId="0" borderId="22" xfId="169" applyNumberFormat="1" applyFont="1" applyBorder="1" applyAlignment="1">
      <alignment horizontal="center" vertical="center"/>
    </xf>
    <xf numFmtId="0" fontId="51" fillId="0" borderId="11" xfId="169" quotePrefix="1" applyFont="1" applyBorder="1" applyAlignment="1">
      <alignment horizontal="center" vertical="center"/>
    </xf>
    <xf numFmtId="0" fontId="51" fillId="0" borderId="19" xfId="169" applyFont="1" applyBorder="1" applyAlignment="1">
      <alignment horizontal="left" vertical="center" indent="2"/>
    </xf>
    <xf numFmtId="0" fontId="62" fillId="0" borderId="20" xfId="169" applyFont="1" applyBorder="1" applyAlignment="1">
      <alignment horizontal="left" vertical="center" indent="2"/>
    </xf>
    <xf numFmtId="0" fontId="62" fillId="0" borderId="0" xfId="169" applyFont="1" applyAlignment="1">
      <alignment horizontal="center" vertical="center"/>
    </xf>
    <xf numFmtId="0" fontId="62" fillId="0" borderId="11" xfId="169" applyFont="1" applyBorder="1" applyAlignment="1">
      <alignment horizontal="center" vertical="center"/>
    </xf>
    <xf numFmtId="2" fontId="62" fillId="0" borderId="5" xfId="169" applyNumberFormat="1" applyFont="1" applyBorder="1" applyAlignment="1">
      <alignment horizontal="center" vertical="center"/>
    </xf>
    <xf numFmtId="1" fontId="62" fillId="0" borderId="5" xfId="169" applyNumberFormat="1" applyFont="1" applyBorder="1" applyAlignment="1">
      <alignment horizontal="center" vertical="center"/>
    </xf>
    <xf numFmtId="0" fontId="62" fillId="0" borderId="19" xfId="169" applyFont="1" applyBorder="1" applyAlignment="1">
      <alignment horizontal="left" vertical="center" indent="2"/>
    </xf>
    <xf numFmtId="0" fontId="51" fillId="28" borderId="0" xfId="169" applyFont="1" applyFill="1" applyAlignment="1">
      <alignment horizontal="center" vertical="center"/>
    </xf>
    <xf numFmtId="0" fontId="51" fillId="28" borderId="11" xfId="169" applyFont="1" applyFill="1" applyBorder="1" applyAlignment="1">
      <alignment horizontal="center" vertical="center"/>
    </xf>
    <xf numFmtId="0" fontId="51" fillId="28" borderId="51" xfId="169" applyFont="1" applyFill="1" applyBorder="1" applyAlignment="1">
      <alignment horizontal="center" vertical="center"/>
    </xf>
    <xf numFmtId="0" fontId="51" fillId="28" borderId="23" xfId="169" applyFont="1" applyFill="1" applyBorder="1" applyAlignment="1">
      <alignment horizontal="center" vertical="center"/>
    </xf>
    <xf numFmtId="2" fontId="51" fillId="0" borderId="0" xfId="169" applyNumberFormat="1" applyFont="1" applyAlignment="1">
      <alignment horizontal="center" vertical="center"/>
    </xf>
    <xf numFmtId="0" fontId="51" fillId="0" borderId="0" xfId="169" applyFont="1" applyAlignment="1">
      <alignment horizontal="left" vertical="center" indent="2"/>
    </xf>
    <xf numFmtId="0" fontId="57" fillId="0" borderId="22" xfId="169" applyFont="1" applyBorder="1" applyAlignment="1">
      <alignment horizontal="left" vertical="center"/>
    </xf>
    <xf numFmtId="0" fontId="52" fillId="27" borderId="18" xfId="169" applyFont="1" applyFill="1" applyBorder="1" applyAlignment="1">
      <alignment horizontal="centerContinuous" vertical="center"/>
    </xf>
    <xf numFmtId="4" fontId="57" fillId="27" borderId="61" xfId="169" applyNumberFormat="1" applyFont="1" applyFill="1" applyBorder="1" applyAlignment="1">
      <alignment horizontal="right" vertical="center"/>
    </xf>
    <xf numFmtId="10" fontId="53" fillId="0" borderId="52" xfId="56" applyNumberFormat="1" applyFont="1" applyBorder="1" applyAlignment="1">
      <alignment horizontal="center" vertical="center"/>
    </xf>
    <xf numFmtId="4" fontId="63" fillId="28" borderId="61" xfId="169" applyNumberFormat="1" applyFont="1" applyFill="1" applyBorder="1" applyAlignment="1">
      <alignment horizontal="center" vertical="center"/>
    </xf>
    <xf numFmtId="4" fontId="55" fillId="0" borderId="0" xfId="169" applyNumberFormat="1" applyFont="1" applyAlignment="1">
      <alignment horizontal="center" vertical="center"/>
    </xf>
    <xf numFmtId="0" fontId="57" fillId="0" borderId="20" xfId="169" applyFont="1" applyBorder="1" applyAlignment="1">
      <alignment horizontal="center" vertical="center"/>
    </xf>
    <xf numFmtId="4" fontId="52" fillId="27" borderId="20" xfId="169" applyNumberFormat="1" applyFont="1" applyFill="1" applyBorder="1" applyAlignment="1">
      <alignment horizontal="right" vertical="center"/>
    </xf>
    <xf numFmtId="4" fontId="53" fillId="28" borderId="20" xfId="169" applyNumberFormat="1" applyFont="1" applyFill="1" applyBorder="1" applyAlignment="1">
      <alignment horizontal="center" vertical="center"/>
    </xf>
    <xf numFmtId="2" fontId="53" fillId="28" borderId="5" xfId="169" applyNumberFormat="1" applyFont="1" applyFill="1" applyBorder="1" applyAlignment="1">
      <alignment horizontal="center" vertical="center"/>
    </xf>
    <xf numFmtId="0" fontId="57" fillId="0" borderId="19" xfId="169" applyFont="1" applyBorder="1" applyAlignment="1">
      <alignment horizontal="center" vertical="center"/>
    </xf>
    <xf numFmtId="4" fontId="52" fillId="27" borderId="19" xfId="169" applyNumberFormat="1" applyFont="1" applyFill="1" applyBorder="1" applyAlignment="1">
      <alignment horizontal="right" vertical="center"/>
    </xf>
    <xf numFmtId="4" fontId="53" fillId="28" borderId="19" xfId="169" applyNumberFormat="1" applyFont="1" applyFill="1" applyBorder="1" applyAlignment="1">
      <alignment horizontal="center" vertical="center"/>
    </xf>
    <xf numFmtId="2" fontId="53" fillId="28" borderId="22" xfId="169" applyNumberFormat="1" applyFont="1" applyFill="1" applyBorder="1" applyAlignment="1">
      <alignment horizontal="center" vertical="center"/>
    </xf>
    <xf numFmtId="4" fontId="54" fillId="28" borderId="61" xfId="169" applyNumberFormat="1" applyFont="1" applyFill="1" applyBorder="1" applyAlignment="1">
      <alignment horizontal="center" vertical="center"/>
    </xf>
    <xf numFmtId="2" fontId="56" fillId="28" borderId="41" xfId="169" applyNumberFormat="1" applyFont="1" applyFill="1" applyBorder="1" applyAlignment="1">
      <alignment horizontal="center" vertical="center"/>
    </xf>
    <xf numFmtId="4" fontId="56" fillId="0" borderId="51" xfId="169" applyNumberFormat="1" applyFont="1" applyBorder="1" applyAlignment="1">
      <alignment horizontal="center" vertical="center"/>
    </xf>
    <xf numFmtId="4" fontId="56" fillId="0" borderId="23" xfId="169" applyNumberFormat="1" applyFont="1" applyBorder="1" applyAlignment="1">
      <alignment horizontal="center" vertical="center"/>
    </xf>
    <xf numFmtId="2" fontId="64" fillId="0" borderId="0" xfId="169" applyNumberFormat="1" applyFont="1" applyAlignment="1">
      <alignment horizontal="right" vertical="center"/>
    </xf>
    <xf numFmtId="4" fontId="56" fillId="0" borderId="21" xfId="169" applyNumberFormat="1" applyFont="1" applyBorder="1" applyAlignment="1">
      <alignment horizontal="center" vertical="center"/>
    </xf>
    <xf numFmtId="4" fontId="56" fillId="0" borderId="24" xfId="169" applyNumberFormat="1" applyFont="1" applyBorder="1" applyAlignment="1">
      <alignment horizontal="center" vertical="center"/>
    </xf>
    <xf numFmtId="0" fontId="51" fillId="0" borderId="0" xfId="208" applyFont="1" applyAlignment="1">
      <alignment horizontal="center" vertical="center"/>
    </xf>
    <xf numFmtId="0" fontId="66" fillId="0" borderId="0" xfId="169" applyFont="1" applyAlignment="1">
      <alignment horizontal="left" vertical="center"/>
    </xf>
    <xf numFmtId="2" fontId="51" fillId="0" borderId="0" xfId="208" applyNumberFormat="1" applyFont="1" applyAlignment="1">
      <alignment horizontal="center" vertical="center"/>
    </xf>
    <xf numFmtId="164" fontId="0" fillId="0" borderId="0" xfId="0" applyNumberFormat="1"/>
    <xf numFmtId="0" fontId="15" fillId="24" borderId="11" xfId="0" applyFont="1" applyFill="1" applyBorder="1" applyAlignment="1">
      <alignment vertical="center"/>
    </xf>
    <xf numFmtId="3" fontId="15" fillId="0" borderId="11" xfId="0" applyNumberFormat="1" applyFont="1" applyBorder="1"/>
    <xf numFmtId="0" fontId="14" fillId="24" borderId="12" xfId="0" applyFont="1" applyFill="1" applyBorder="1" applyAlignment="1">
      <alignment vertical="center"/>
    </xf>
    <xf numFmtId="3" fontId="14" fillId="0" borderId="12" xfId="0" applyNumberFormat="1" applyFont="1" applyBorder="1"/>
    <xf numFmtId="179" fontId="14" fillId="0" borderId="12" xfId="0" applyNumberFormat="1" applyFont="1" applyBorder="1"/>
    <xf numFmtId="0" fontId="15" fillId="0" borderId="11" xfId="0" applyFont="1" applyBorder="1"/>
    <xf numFmtId="3" fontId="14" fillId="0" borderId="11" xfId="0" applyNumberFormat="1" applyFont="1" applyBorder="1"/>
    <xf numFmtId="0" fontId="15" fillId="0" borderId="12" xfId="0" applyFont="1" applyBorder="1"/>
    <xf numFmtId="0" fontId="14" fillId="33" borderId="12" xfId="0" applyFont="1" applyFill="1" applyBorder="1" applyAlignment="1">
      <alignment horizontal="left" vertical="center" wrapText="1"/>
    </xf>
    <xf numFmtId="3" fontId="14" fillId="33" borderId="12" xfId="0" applyNumberFormat="1" applyFont="1" applyFill="1" applyBorder="1" applyAlignment="1">
      <alignment horizontal="right" vertical="center" wrapText="1"/>
    </xf>
    <xf numFmtId="0" fontId="14" fillId="33" borderId="12" xfId="0" applyFont="1" applyFill="1" applyBorder="1"/>
    <xf numFmtId="3" fontId="14" fillId="33" borderId="12" xfId="0" applyNumberFormat="1" applyFont="1" applyFill="1" applyBorder="1"/>
    <xf numFmtId="0" fontId="69" fillId="24" borderId="11" xfId="0" applyFont="1" applyFill="1" applyBorder="1" applyAlignment="1">
      <alignment vertical="center"/>
    </xf>
    <xf numFmtId="3" fontId="69" fillId="0" borderId="11" xfId="0" applyNumberFormat="1" applyFont="1" applyBorder="1"/>
    <xf numFmtId="3" fontId="69" fillId="0" borderId="5" xfId="0" applyNumberFormat="1" applyFont="1" applyBorder="1"/>
    <xf numFmtId="0" fontId="72" fillId="0" borderId="61" xfId="202" applyFont="1" applyBorder="1" applyAlignment="1">
      <alignment vertical="center"/>
    </xf>
    <xf numFmtId="0" fontId="72" fillId="0" borderId="62" xfId="202" applyFont="1" applyBorder="1" applyAlignment="1">
      <alignment vertical="center"/>
    </xf>
    <xf numFmtId="0" fontId="72" fillId="0" borderId="41" xfId="202" applyFont="1" applyBorder="1" applyAlignment="1">
      <alignment vertical="center"/>
    </xf>
    <xf numFmtId="0" fontId="12" fillId="0" borderId="0" xfId="0" applyFont="1" applyAlignment="1">
      <alignment horizontal="center"/>
    </xf>
    <xf numFmtId="3" fontId="81" fillId="0" borderId="0" xfId="0" applyNumberFormat="1" applyFont="1"/>
    <xf numFmtId="0" fontId="81" fillId="0" borderId="0" xfId="0" applyFont="1"/>
    <xf numFmtId="164" fontId="0" fillId="0" borderId="0" xfId="164" applyFont="1"/>
    <xf numFmtId="168" fontId="11" fillId="24" borderId="0" xfId="164" applyNumberFormat="1" applyFont="1" applyFill="1" applyBorder="1"/>
    <xf numFmtId="168" fontId="11" fillId="24" borderId="11" xfId="164" applyNumberFormat="1" applyFont="1" applyFill="1" applyBorder="1"/>
    <xf numFmtId="168" fontId="11" fillId="24" borderId="42" xfId="164" applyNumberFormat="1" applyFont="1" applyFill="1" applyBorder="1"/>
    <xf numFmtId="168" fontId="11" fillId="24" borderId="21" xfId="164" applyNumberFormat="1" applyFont="1" applyFill="1" applyBorder="1"/>
    <xf numFmtId="168" fontId="11" fillId="24" borderId="24" xfId="164" applyNumberFormat="1" applyFont="1" applyFill="1" applyBorder="1"/>
    <xf numFmtId="168" fontId="11" fillId="24" borderId="28" xfId="164" applyNumberFormat="1" applyFont="1" applyFill="1" applyBorder="1"/>
    <xf numFmtId="168" fontId="11" fillId="24" borderId="39" xfId="164" applyNumberFormat="1" applyFont="1" applyFill="1" applyBorder="1"/>
    <xf numFmtId="168" fontId="11" fillId="24" borderId="38" xfId="164" applyNumberFormat="1" applyFont="1" applyFill="1" applyBorder="1"/>
    <xf numFmtId="168" fontId="11" fillId="24" borderId="68" xfId="164" applyNumberFormat="1" applyFont="1" applyFill="1" applyBorder="1"/>
    <xf numFmtId="168" fontId="12" fillId="24" borderId="12" xfId="164" applyNumberFormat="1" applyFont="1" applyFill="1" applyBorder="1"/>
    <xf numFmtId="168" fontId="12" fillId="24" borderId="25" xfId="164" applyNumberFormat="1" applyFont="1" applyFill="1" applyBorder="1"/>
    <xf numFmtId="173" fontId="11" fillId="24" borderId="23" xfId="164" applyNumberFormat="1" applyFont="1" applyFill="1" applyBorder="1"/>
    <xf numFmtId="173" fontId="11" fillId="24" borderId="32" xfId="164" applyNumberFormat="1" applyFont="1" applyFill="1" applyBorder="1"/>
    <xf numFmtId="173" fontId="11" fillId="24" borderId="11" xfId="164" applyNumberFormat="1" applyFont="1" applyFill="1" applyBorder="1"/>
    <xf numFmtId="173" fontId="11" fillId="24" borderId="34" xfId="164" applyNumberFormat="1" applyFont="1" applyFill="1" applyBorder="1"/>
    <xf numFmtId="173" fontId="11" fillId="24" borderId="24" xfId="164" applyNumberFormat="1" applyFont="1" applyFill="1" applyBorder="1"/>
    <xf numFmtId="173" fontId="11" fillId="24" borderId="36" xfId="164" applyNumberFormat="1" applyFont="1" applyFill="1" applyBorder="1"/>
    <xf numFmtId="173" fontId="12" fillId="24" borderId="24" xfId="164" applyNumberFormat="1" applyFont="1" applyFill="1" applyBorder="1"/>
    <xf numFmtId="173" fontId="12" fillId="24" borderId="36" xfId="164" applyNumberFormat="1" applyFont="1" applyFill="1" applyBorder="1"/>
    <xf numFmtId="173" fontId="12" fillId="24" borderId="11" xfId="164" applyNumberFormat="1" applyFont="1" applyFill="1" applyBorder="1"/>
    <xf numFmtId="173" fontId="11" fillId="0" borderId="11" xfId="164" applyNumberFormat="1" applyFont="1" applyFill="1" applyBorder="1"/>
    <xf numFmtId="173" fontId="11" fillId="0" borderId="34" xfId="164" applyNumberFormat="1" applyFont="1" applyFill="1" applyBorder="1"/>
    <xf numFmtId="173" fontId="12" fillId="24" borderId="12" xfId="164" applyNumberFormat="1" applyFont="1" applyFill="1" applyBorder="1"/>
    <xf numFmtId="173" fontId="12" fillId="24" borderId="25" xfId="164" applyNumberFormat="1" applyFont="1" applyFill="1" applyBorder="1"/>
    <xf numFmtId="168" fontId="11" fillId="24" borderId="5" xfId="164" applyNumberFormat="1" applyFont="1" applyFill="1" applyBorder="1" applyAlignment="1">
      <alignment horizontal="center"/>
    </xf>
    <xf numFmtId="173" fontId="11" fillId="24" borderId="5" xfId="164" applyNumberFormat="1" applyFont="1" applyFill="1" applyBorder="1" applyAlignment="1">
      <alignment horizontal="center"/>
    </xf>
    <xf numFmtId="173" fontId="11" fillId="24" borderId="42" xfId="164" applyNumberFormat="1" applyFont="1" applyFill="1" applyBorder="1" applyAlignment="1">
      <alignment horizontal="center"/>
    </xf>
    <xf numFmtId="173" fontId="11" fillId="25" borderId="5" xfId="164" applyNumberFormat="1" applyFont="1" applyFill="1" applyBorder="1" applyAlignment="1">
      <alignment horizontal="center"/>
    </xf>
    <xf numFmtId="173" fontId="11" fillId="25" borderId="42" xfId="164" applyNumberFormat="1" applyFont="1" applyFill="1" applyBorder="1" applyAlignment="1">
      <alignment horizontal="center"/>
    </xf>
    <xf numFmtId="173" fontId="12" fillId="24" borderId="13" xfId="164" applyNumberFormat="1" applyFont="1" applyFill="1" applyBorder="1"/>
    <xf numFmtId="173" fontId="12" fillId="24" borderId="26" xfId="164" applyNumberFormat="1" applyFont="1" applyFill="1" applyBorder="1"/>
    <xf numFmtId="173" fontId="11" fillId="25" borderId="0" xfId="164" applyNumberFormat="1" applyFont="1" applyFill="1" applyBorder="1" applyAlignment="1">
      <alignment horizontal="center"/>
    </xf>
    <xf numFmtId="0" fontId="12" fillId="24" borderId="45" xfId="0" applyFont="1" applyFill="1" applyBorder="1" applyAlignment="1">
      <alignment horizontal="center" vertical="center"/>
    </xf>
    <xf numFmtId="0" fontId="11" fillId="24" borderId="46" xfId="0" applyFont="1" applyFill="1" applyBorder="1" applyAlignment="1">
      <alignment vertical="center"/>
    </xf>
    <xf numFmtId="0" fontId="42" fillId="24" borderId="47" xfId="0" applyFont="1" applyFill="1" applyBorder="1" applyAlignment="1">
      <alignment vertical="center"/>
    </xf>
    <xf numFmtId="0" fontId="41" fillId="24" borderId="47" xfId="0" applyFont="1" applyFill="1" applyBorder="1" applyAlignment="1">
      <alignment horizontal="center" vertical="center"/>
    </xf>
    <xf numFmtId="0" fontId="41" fillId="24" borderId="48" xfId="0" applyFont="1" applyFill="1" applyBorder="1" applyAlignment="1">
      <alignment horizontal="center" vertical="center"/>
    </xf>
    <xf numFmtId="0" fontId="41" fillId="24" borderId="49" xfId="0" applyFont="1" applyFill="1" applyBorder="1" applyAlignment="1">
      <alignment horizontal="center" vertical="center"/>
    </xf>
    <xf numFmtId="0" fontId="11" fillId="24" borderId="51" xfId="0" applyFont="1" applyFill="1" applyBorder="1" applyAlignment="1">
      <alignment vertical="center"/>
    </xf>
    <xf numFmtId="1" fontId="42" fillId="24" borderId="23" xfId="0" applyNumberFormat="1" applyFont="1" applyFill="1" applyBorder="1" applyAlignment="1">
      <alignment vertical="center"/>
    </xf>
    <xf numFmtId="1" fontId="42" fillId="24" borderId="53" xfId="0" applyNumberFormat="1" applyFont="1" applyFill="1" applyBorder="1" applyAlignment="1">
      <alignment vertical="center"/>
    </xf>
    <xf numFmtId="168" fontId="42" fillId="24" borderId="5" xfId="164" applyNumberFormat="1" applyFont="1" applyFill="1" applyBorder="1" applyAlignment="1">
      <alignment vertical="center"/>
    </xf>
    <xf numFmtId="168" fontId="42" fillId="24" borderId="11" xfId="164" applyNumberFormat="1" applyFont="1" applyFill="1" applyBorder="1" applyAlignment="1">
      <alignment vertical="center"/>
    </xf>
    <xf numFmtId="168" fontId="42" fillId="24" borderId="42" xfId="164" applyNumberFormat="1" applyFont="1" applyFill="1" applyBorder="1" applyAlignment="1">
      <alignment vertical="center"/>
    </xf>
    <xf numFmtId="168" fontId="0" fillId="0" borderId="0" xfId="164" applyNumberFormat="1" applyFont="1"/>
    <xf numFmtId="0" fontId="11" fillId="24" borderId="54" xfId="0" applyFont="1" applyFill="1" applyBorder="1" applyAlignment="1">
      <alignment horizontal="left" vertical="center"/>
    </xf>
    <xf numFmtId="168" fontId="42" fillId="24" borderId="34" xfId="164" applyNumberFormat="1" applyFont="1" applyFill="1" applyBorder="1" applyAlignment="1">
      <alignment vertical="center"/>
    </xf>
    <xf numFmtId="168" fontId="0" fillId="0" borderId="0" xfId="164" applyNumberFormat="1" applyFont="1" applyFill="1"/>
    <xf numFmtId="168" fontId="42" fillId="0" borderId="5" xfId="164" applyNumberFormat="1" applyFont="1" applyFill="1" applyBorder="1" applyAlignment="1">
      <alignment vertical="center"/>
    </xf>
    <xf numFmtId="0" fontId="11" fillId="24" borderId="27" xfId="0" applyFont="1" applyFill="1" applyBorder="1" applyAlignment="1">
      <alignment vertical="center"/>
    </xf>
    <xf numFmtId="0" fontId="11" fillId="24" borderId="19" xfId="0" applyFont="1" applyFill="1" applyBorder="1" applyAlignment="1">
      <alignment vertical="center"/>
    </xf>
    <xf numFmtId="0" fontId="42" fillId="24" borderId="22" xfId="0" applyFont="1" applyFill="1" applyBorder="1" applyAlignment="1">
      <alignment vertical="center"/>
    </xf>
    <xf numFmtId="168" fontId="42" fillId="24" borderId="28" xfId="164" applyNumberFormat="1" applyFont="1" applyFill="1" applyBorder="1" applyAlignment="1">
      <alignment vertical="center"/>
    </xf>
    <xf numFmtId="175" fontId="42" fillId="24" borderId="5" xfId="164" applyNumberFormat="1" applyFont="1" applyFill="1" applyBorder="1" applyAlignment="1">
      <alignment vertical="center"/>
    </xf>
    <xf numFmtId="175" fontId="42" fillId="24" borderId="11" xfId="164" applyNumberFormat="1" applyFont="1" applyFill="1" applyBorder="1" applyAlignment="1">
      <alignment vertical="center"/>
    </xf>
    <xf numFmtId="175" fontId="42" fillId="24" borderId="34" xfId="164" applyNumberFormat="1" applyFont="1" applyFill="1" applyBorder="1" applyAlignment="1">
      <alignment vertical="center"/>
    </xf>
    <xf numFmtId="168" fontId="41" fillId="24" borderId="5" xfId="164" applyNumberFormat="1" applyFont="1" applyFill="1" applyBorder="1" applyAlignment="1">
      <alignment horizontal="right" vertical="center"/>
    </xf>
    <xf numFmtId="168" fontId="45" fillId="24" borderId="5" xfId="164" applyNumberFormat="1" applyFont="1" applyFill="1" applyBorder="1" applyAlignment="1">
      <alignment vertical="center"/>
    </xf>
    <xf numFmtId="3" fontId="0" fillId="0" borderId="0" xfId="0" applyNumberFormat="1"/>
    <xf numFmtId="168" fontId="41" fillId="24" borderId="5" xfId="164" applyNumberFormat="1" applyFont="1" applyFill="1" applyBorder="1" applyAlignment="1">
      <alignment vertical="center"/>
    </xf>
    <xf numFmtId="168" fontId="41" fillId="24" borderId="58" xfId="164" applyNumberFormat="1" applyFont="1" applyFill="1" applyBorder="1" applyAlignment="1">
      <alignment vertical="center"/>
    </xf>
    <xf numFmtId="168" fontId="12" fillId="0" borderId="0" xfId="164" applyNumberFormat="1" applyFont="1" applyFill="1" applyBorder="1"/>
    <xf numFmtId="0" fontId="50" fillId="26" borderId="0" xfId="0" applyFont="1" applyFill="1"/>
    <xf numFmtId="174" fontId="50" fillId="26" borderId="0" xfId="0" applyNumberFormat="1" applyFont="1" applyFill="1" applyAlignment="1">
      <alignment horizontal="right"/>
    </xf>
    <xf numFmtId="168" fontId="11" fillId="24" borderId="34" xfId="164" applyNumberFormat="1" applyFont="1" applyFill="1" applyBorder="1"/>
    <xf numFmtId="168" fontId="11" fillId="24" borderId="11" xfId="164" applyNumberFormat="1" applyFont="1" applyFill="1" applyBorder="1" applyAlignment="1">
      <alignment horizontal="center"/>
    </xf>
    <xf numFmtId="168" fontId="11" fillId="24" borderId="38" xfId="164" applyNumberFormat="1" applyFont="1" applyFill="1" applyBorder="1" applyAlignment="1">
      <alignment horizontal="center"/>
    </xf>
    <xf numFmtId="168" fontId="11" fillId="24" borderId="38" xfId="164" applyNumberFormat="1" applyFont="1" applyFill="1" applyBorder="1" applyAlignment="1">
      <alignment horizontal="right"/>
    </xf>
    <xf numFmtId="168" fontId="11" fillId="24" borderId="16" xfId="164" applyNumberFormat="1" applyFont="1" applyFill="1" applyBorder="1" applyAlignment="1">
      <alignment horizontal="right"/>
    </xf>
    <xf numFmtId="168" fontId="0" fillId="24" borderId="11" xfId="164" applyNumberFormat="1" applyFont="1" applyFill="1" applyBorder="1"/>
    <xf numFmtId="168" fontId="0" fillId="24" borderId="34" xfId="164" applyNumberFormat="1" applyFont="1" applyFill="1" applyBorder="1"/>
    <xf numFmtId="168" fontId="0" fillId="24" borderId="5" xfId="164" applyNumberFormat="1" applyFont="1" applyFill="1" applyBorder="1" applyAlignment="1">
      <alignment horizontal="center"/>
    </xf>
    <xf numFmtId="168" fontId="0" fillId="24" borderId="42" xfId="164" applyNumberFormat="1" applyFont="1" applyFill="1" applyBorder="1" applyAlignment="1">
      <alignment horizontal="center"/>
    </xf>
    <xf numFmtId="168" fontId="12" fillId="24" borderId="13" xfId="164" applyNumberFormat="1" applyFont="1" applyFill="1" applyBorder="1"/>
    <xf numFmtId="168" fontId="12" fillId="24" borderId="26" xfId="164" applyNumberFormat="1" applyFont="1" applyFill="1" applyBorder="1"/>
    <xf numFmtId="168" fontId="42" fillId="30" borderId="5" xfId="164" applyNumberFormat="1" applyFont="1" applyFill="1" applyBorder="1" applyAlignment="1">
      <alignment vertical="center"/>
    </xf>
    <xf numFmtId="168" fontId="42" fillId="30" borderId="22" xfId="164" applyNumberFormat="1" applyFont="1" applyFill="1" applyBorder="1" applyAlignment="1">
      <alignment vertical="center"/>
    </xf>
    <xf numFmtId="165" fontId="0" fillId="0" borderId="0" xfId="40" applyFont="1"/>
    <xf numFmtId="0" fontId="83" fillId="0" borderId="11" xfId="0" applyFont="1" applyBorder="1"/>
    <xf numFmtId="165" fontId="84" fillId="0" borderId="11" xfId="40" applyFont="1" applyBorder="1"/>
    <xf numFmtId="165" fontId="0" fillId="0" borderId="11" xfId="40" applyFont="1" applyBorder="1"/>
    <xf numFmtId="165" fontId="82" fillId="0" borderId="11" xfId="40" applyFont="1" applyBorder="1"/>
    <xf numFmtId="0" fontId="0" fillId="0" borderId="11" xfId="0" applyBorder="1"/>
    <xf numFmtId="40" fontId="82" fillId="0" borderId="11" xfId="40" applyNumberFormat="1" applyFont="1" applyBorder="1" applyAlignment="1">
      <alignment horizontal="center"/>
    </xf>
    <xf numFmtId="0" fontId="82" fillId="0" borderId="11" xfId="0" applyFont="1" applyBorder="1"/>
    <xf numFmtId="0" fontId="83" fillId="34" borderId="12" xfId="0" applyFont="1" applyFill="1" applyBorder="1"/>
    <xf numFmtId="0" fontId="0" fillId="34" borderId="12" xfId="0" applyFill="1" applyBorder="1"/>
    <xf numFmtId="165" fontId="82" fillId="34" borderId="12" xfId="40" applyFont="1" applyFill="1" applyBorder="1"/>
    <xf numFmtId="0" fontId="83" fillId="34" borderId="12" xfId="0" applyFont="1" applyFill="1" applyBorder="1" applyAlignment="1">
      <alignment horizontal="left"/>
    </xf>
    <xf numFmtId="0" fontId="0" fillId="34" borderId="12" xfId="0" applyFill="1" applyBorder="1" applyAlignment="1">
      <alignment horizontal="left"/>
    </xf>
    <xf numFmtId="9" fontId="85" fillId="34" borderId="12" xfId="56" applyFont="1" applyFill="1" applyBorder="1" applyAlignment="1">
      <alignment horizontal="center"/>
    </xf>
    <xf numFmtId="0" fontId="86" fillId="0" borderId="0" xfId="0" applyFont="1"/>
    <xf numFmtId="0" fontId="11" fillId="0" borderId="18" xfId="0" applyFont="1" applyBorder="1"/>
    <xf numFmtId="0" fontId="11" fillId="0" borderId="19" xfId="0" applyFont="1" applyBorder="1"/>
    <xf numFmtId="164" fontId="87" fillId="0" borderId="0" xfId="0" applyNumberFormat="1" applyFont="1"/>
    <xf numFmtId="0" fontId="11" fillId="24" borderId="20" xfId="0" applyFont="1" applyFill="1" applyBorder="1" applyAlignment="1">
      <alignment horizontal="center"/>
    </xf>
    <xf numFmtId="168" fontId="11" fillId="24" borderId="20" xfId="164" applyNumberFormat="1" applyFont="1" applyFill="1" applyBorder="1"/>
    <xf numFmtId="168" fontId="11" fillId="24" borderId="19" xfId="164" applyNumberFormat="1" applyFont="1" applyFill="1" applyBorder="1"/>
    <xf numFmtId="168" fontId="11" fillId="24" borderId="102" xfId="164" applyNumberFormat="1" applyFont="1" applyFill="1" applyBorder="1"/>
    <xf numFmtId="0" fontId="11" fillId="24" borderId="24" xfId="0" applyFont="1" applyFill="1" applyBorder="1" applyAlignment="1">
      <alignment horizontal="center" vertical="center"/>
    </xf>
    <xf numFmtId="0" fontId="11" fillId="24" borderId="12" xfId="0" applyFont="1" applyFill="1" applyBorder="1" applyAlignment="1">
      <alignment horizontal="center"/>
    </xf>
    <xf numFmtId="173" fontId="88" fillId="0" borderId="11" xfId="164" applyNumberFormat="1" applyFont="1" applyFill="1" applyBorder="1"/>
    <xf numFmtId="0" fontId="11" fillId="24" borderId="13" xfId="0" applyFont="1" applyFill="1" applyBorder="1"/>
    <xf numFmtId="0" fontId="42" fillId="24" borderId="48" xfId="0" applyFont="1" applyFill="1" applyBorder="1" applyAlignment="1">
      <alignment vertical="center"/>
    </xf>
    <xf numFmtId="0" fontId="42" fillId="24" borderId="23" xfId="0" applyFont="1" applyFill="1" applyBorder="1" applyAlignment="1">
      <alignment vertical="center"/>
    </xf>
    <xf numFmtId="168" fontId="42" fillId="37" borderId="5" xfId="164" applyNumberFormat="1" applyFont="1" applyFill="1" applyBorder="1" applyAlignment="1">
      <alignment vertical="center"/>
    </xf>
    <xf numFmtId="168" fontId="42" fillId="37" borderId="22" xfId="164" applyNumberFormat="1" applyFont="1" applyFill="1" applyBorder="1" applyAlignment="1">
      <alignment vertical="center"/>
    </xf>
    <xf numFmtId="168" fontId="42" fillId="24" borderId="22" xfId="164" applyNumberFormat="1" applyFont="1" applyFill="1" applyBorder="1" applyAlignment="1">
      <alignment vertical="center"/>
    </xf>
    <xf numFmtId="0" fontId="42" fillId="24" borderId="24" xfId="0" applyFont="1" applyFill="1" applyBorder="1" applyAlignment="1">
      <alignment vertical="center"/>
    </xf>
    <xf numFmtId="0" fontId="41" fillId="24" borderId="29" xfId="0" applyFont="1" applyFill="1" applyBorder="1" applyAlignment="1">
      <alignment horizontal="center" vertical="center"/>
    </xf>
    <xf numFmtId="168" fontId="41" fillId="24" borderId="11" xfId="164" applyNumberFormat="1" applyFont="1" applyFill="1" applyBorder="1" applyAlignment="1">
      <alignment horizontal="right" vertical="center"/>
    </xf>
    <xf numFmtId="168" fontId="45" fillId="24" borderId="11" xfId="164" applyNumberFormat="1" applyFont="1" applyFill="1" applyBorder="1" applyAlignment="1">
      <alignment vertical="center"/>
    </xf>
    <xf numFmtId="168" fontId="41" fillId="24" borderId="11" xfId="164" applyNumberFormat="1" applyFont="1" applyFill="1" applyBorder="1" applyAlignment="1">
      <alignment vertical="center"/>
    </xf>
    <xf numFmtId="168" fontId="89" fillId="31" borderId="58" xfId="164" applyNumberFormat="1" applyFont="1" applyFill="1" applyBorder="1" applyAlignment="1">
      <alignment vertical="center"/>
    </xf>
    <xf numFmtId="168" fontId="41" fillId="24" borderId="38" xfId="164" applyNumberFormat="1" applyFont="1" applyFill="1" applyBorder="1" applyAlignment="1">
      <alignment vertical="center"/>
    </xf>
    <xf numFmtId="0" fontId="91" fillId="0" borderId="0" xfId="0" applyFont="1"/>
    <xf numFmtId="0" fontId="11" fillId="24" borderId="0" xfId="169" applyFill="1"/>
    <xf numFmtId="0" fontId="11" fillId="0" borderId="0" xfId="169"/>
    <xf numFmtId="0" fontId="12" fillId="24" borderId="63" xfId="169" applyFont="1" applyFill="1" applyBorder="1" applyAlignment="1">
      <alignment horizontal="left"/>
    </xf>
    <xf numFmtId="0" fontId="11" fillId="24" borderId="55" xfId="169" applyFill="1" applyBorder="1"/>
    <xf numFmtId="0" fontId="11" fillId="24" borderId="57" xfId="169" applyFill="1" applyBorder="1"/>
    <xf numFmtId="0" fontId="12" fillId="24" borderId="37" xfId="169" applyFont="1" applyFill="1" applyBorder="1"/>
    <xf numFmtId="0" fontId="11" fillId="24" borderId="39" xfId="169" applyFill="1" applyBorder="1"/>
    <xf numFmtId="180" fontId="11" fillId="24" borderId="68" xfId="169" applyNumberFormat="1" applyFill="1" applyBorder="1"/>
    <xf numFmtId="0" fontId="11" fillId="0" borderId="0" xfId="169" applyAlignment="1">
      <alignment horizontal="center"/>
    </xf>
    <xf numFmtId="0" fontId="12" fillId="24" borderId="55" xfId="169" applyFont="1" applyFill="1" applyBorder="1" applyAlignment="1">
      <alignment horizontal="center"/>
    </xf>
    <xf numFmtId="0" fontId="14" fillId="24" borderId="55" xfId="169" applyFont="1" applyFill="1" applyBorder="1" applyAlignment="1">
      <alignment horizontal="center"/>
    </xf>
    <xf numFmtId="0" fontId="12" fillId="24" borderId="0" xfId="169" applyFont="1" applyFill="1" applyAlignment="1">
      <alignment horizontal="left"/>
    </xf>
    <xf numFmtId="0" fontId="12" fillId="24" borderId="0" xfId="169" applyFont="1" applyFill="1" applyAlignment="1">
      <alignment horizontal="center"/>
    </xf>
    <xf numFmtId="180" fontId="12" fillId="24" borderId="0" xfId="169" applyNumberFormat="1" applyFont="1" applyFill="1" applyAlignment="1">
      <alignment horizontal="center"/>
    </xf>
    <xf numFmtId="0" fontId="12" fillId="24" borderId="63" xfId="169" applyFont="1" applyFill="1" applyBorder="1"/>
    <xf numFmtId="0" fontId="11" fillId="24" borderId="70" xfId="169" applyFill="1" applyBorder="1"/>
    <xf numFmtId="0" fontId="11" fillId="24" borderId="33" xfId="169" applyFill="1" applyBorder="1"/>
    <xf numFmtId="0" fontId="11" fillId="24" borderId="63" xfId="169" applyFill="1" applyBorder="1"/>
    <xf numFmtId="0" fontId="11" fillId="24" borderId="39" xfId="169" applyFill="1" applyBorder="1" applyAlignment="1">
      <alignment horizontal="center"/>
    </xf>
    <xf numFmtId="174" fontId="11" fillId="24" borderId="39" xfId="169" applyNumberFormat="1" applyFill="1" applyBorder="1" applyAlignment="1">
      <alignment horizontal="center"/>
    </xf>
    <xf numFmtId="0" fontId="11" fillId="24" borderId="42" xfId="169" applyFill="1" applyBorder="1"/>
    <xf numFmtId="0" fontId="11" fillId="24" borderId="37" xfId="169" applyFill="1" applyBorder="1"/>
    <xf numFmtId="0" fontId="11" fillId="24" borderId="70" xfId="169" applyFill="1" applyBorder="1" applyAlignment="1">
      <alignment horizontal="center"/>
    </xf>
    <xf numFmtId="0" fontId="11" fillId="24" borderId="0" xfId="169" applyFill="1" applyAlignment="1">
      <alignment horizontal="center"/>
    </xf>
    <xf numFmtId="0" fontId="14" fillId="24" borderId="0" xfId="169" applyFont="1" applyFill="1" applyAlignment="1">
      <alignment horizontal="center" vertical="center" wrapText="1"/>
    </xf>
    <xf numFmtId="0" fontId="12" fillId="24" borderId="69" xfId="169" applyFont="1" applyFill="1" applyBorder="1"/>
    <xf numFmtId="0" fontId="12" fillId="24" borderId="70" xfId="169" applyFont="1" applyFill="1" applyBorder="1" applyAlignment="1">
      <alignment vertical="center" wrapText="1"/>
    </xf>
    <xf numFmtId="0" fontId="12" fillId="24" borderId="103" xfId="169" applyFont="1" applyFill="1" applyBorder="1" applyAlignment="1">
      <alignment vertical="top" wrapText="1"/>
    </xf>
    <xf numFmtId="166" fontId="94" fillId="24" borderId="42" xfId="169" applyNumberFormat="1" applyFont="1" applyFill="1" applyBorder="1"/>
    <xf numFmtId="0" fontId="11" fillId="24" borderId="0" xfId="169" applyFill="1" applyAlignment="1">
      <alignment vertical="center" wrapText="1"/>
    </xf>
    <xf numFmtId="0" fontId="12" fillId="24" borderId="0" xfId="169" applyFont="1" applyFill="1" applyAlignment="1">
      <alignment vertical="top" wrapText="1"/>
    </xf>
    <xf numFmtId="0" fontId="14" fillId="0" borderId="0" xfId="169" applyFont="1"/>
    <xf numFmtId="0" fontId="11" fillId="24" borderId="68" xfId="169" applyFill="1" applyBorder="1"/>
    <xf numFmtId="17" fontId="11" fillId="0" borderId="18" xfId="169" applyNumberFormat="1" applyBorder="1"/>
    <xf numFmtId="174" fontId="11" fillId="0" borderId="52" xfId="169" applyNumberFormat="1" applyBorder="1"/>
    <xf numFmtId="17" fontId="11" fillId="0" borderId="20" xfId="169" applyNumberFormat="1" applyBorder="1"/>
    <xf numFmtId="174" fontId="11" fillId="0" borderId="5" xfId="169" applyNumberFormat="1" applyBorder="1"/>
    <xf numFmtId="0" fontId="11" fillId="0" borderId="20" xfId="169" applyBorder="1"/>
    <xf numFmtId="0" fontId="11" fillId="0" borderId="5" xfId="169" applyBorder="1"/>
    <xf numFmtId="0" fontId="11" fillId="0" borderId="19" xfId="169" applyBorder="1"/>
    <xf numFmtId="9" fontId="0" fillId="0" borderId="22" xfId="56" applyFont="1" applyBorder="1"/>
    <xf numFmtId="0" fontId="95" fillId="0" borderId="0" xfId="169" applyFont="1" applyAlignment="1">
      <alignment horizontal="left" vertical="center"/>
    </xf>
    <xf numFmtId="0" fontId="0" fillId="35" borderId="0" xfId="0" applyFill="1"/>
    <xf numFmtId="172" fontId="0" fillId="35" borderId="0" xfId="0" applyNumberFormat="1" applyFill="1"/>
    <xf numFmtId="0" fontId="14" fillId="24" borderId="0" xfId="169" applyFont="1" applyFill="1" applyAlignment="1">
      <alignment horizontal="center"/>
    </xf>
    <xf numFmtId="0" fontId="11" fillId="24" borderId="0" xfId="169" applyFill="1" applyAlignment="1">
      <alignment horizontal="center" vertical="center" wrapText="1"/>
    </xf>
    <xf numFmtId="3" fontId="15" fillId="30" borderId="11" xfId="0" applyNumberFormat="1" applyFont="1" applyFill="1" applyBorder="1"/>
    <xf numFmtId="0" fontId="69" fillId="0" borderId="0" xfId="0" applyFont="1"/>
    <xf numFmtId="181" fontId="11" fillId="0" borderId="23" xfId="40" applyNumberFormat="1" applyFont="1" applyBorder="1"/>
    <xf numFmtId="174" fontId="11" fillId="0" borderId="39" xfId="169" applyNumberFormat="1" applyBorder="1"/>
    <xf numFmtId="10" fontId="97" fillId="25" borderId="12" xfId="216" applyNumberFormat="1" applyFont="1" applyFill="1" applyBorder="1" applyAlignment="1">
      <alignment horizontal="center"/>
    </xf>
    <xf numFmtId="180" fontId="12" fillId="24" borderId="55" xfId="169" applyNumberFormat="1" applyFont="1" applyFill="1" applyBorder="1" applyAlignment="1">
      <alignment horizontal="center"/>
    </xf>
    <xf numFmtId="174" fontId="96" fillId="38" borderId="39" xfId="213" applyNumberFormat="1" applyFont="1" applyFill="1" applyBorder="1"/>
    <xf numFmtId="0" fontId="98" fillId="39" borderId="104" xfId="169" applyFont="1" applyFill="1" applyBorder="1" applyAlignment="1">
      <alignment horizontal="center"/>
    </xf>
    <xf numFmtId="10" fontId="11" fillId="0" borderId="0" xfId="56" applyNumberFormat="1" applyFont="1"/>
    <xf numFmtId="0" fontId="99" fillId="39" borderId="62" xfId="169" applyFont="1" applyFill="1" applyBorder="1"/>
    <xf numFmtId="0" fontId="11" fillId="0" borderId="22" xfId="169" applyBorder="1"/>
    <xf numFmtId="0" fontId="11" fillId="0" borderId="62" xfId="169" applyBorder="1"/>
    <xf numFmtId="0" fontId="11" fillId="0" borderId="41" xfId="169" applyBorder="1"/>
    <xf numFmtId="10" fontId="11" fillId="0" borderId="12" xfId="56" applyNumberFormat="1" applyFont="1" applyBorder="1" applyAlignment="1">
      <alignment horizontal="center" wrapText="1"/>
    </xf>
    <xf numFmtId="10" fontId="11" fillId="0" borderId="41" xfId="56" applyNumberFormat="1" applyFont="1" applyBorder="1" applyAlignment="1">
      <alignment horizontal="center" wrapText="1"/>
    </xf>
    <xf numFmtId="174" fontId="11" fillId="40" borderId="23" xfId="169" applyNumberFormat="1" applyFill="1" applyBorder="1"/>
    <xf numFmtId="0" fontId="41" fillId="0" borderId="23" xfId="169" applyFont="1" applyBorder="1" applyAlignment="1">
      <alignment horizontal="right"/>
    </xf>
    <xf numFmtId="2" fontId="11" fillId="0" borderId="0" xfId="169" applyNumberFormat="1"/>
    <xf numFmtId="2" fontId="11" fillId="40" borderId="23" xfId="169" applyNumberFormat="1" applyFill="1" applyBorder="1"/>
    <xf numFmtId="182" fontId="12" fillId="0" borderId="20" xfId="169" applyNumberFormat="1" applyFont="1" applyBorder="1"/>
    <xf numFmtId="174" fontId="11" fillId="40" borderId="11" xfId="169" applyNumberFormat="1" applyFill="1" applyBorder="1"/>
    <xf numFmtId="0" fontId="41" fillId="0" borderId="11" xfId="169" applyFont="1" applyBorder="1" applyAlignment="1">
      <alignment horizontal="right"/>
    </xf>
    <xf numFmtId="181" fontId="11" fillId="0" borderId="11" xfId="40" applyNumberFormat="1" applyFont="1" applyBorder="1"/>
    <xf numFmtId="181" fontId="11" fillId="0" borderId="11" xfId="40" applyNumberFormat="1" applyFont="1" applyBorder="1" applyAlignment="1">
      <alignment horizontal="center"/>
    </xf>
    <xf numFmtId="182" fontId="12" fillId="0" borderId="23" xfId="169" applyNumberFormat="1" applyFont="1" applyBorder="1"/>
    <xf numFmtId="174" fontId="12" fillId="0" borderId="12" xfId="169" applyNumberFormat="1" applyFont="1" applyBorder="1"/>
    <xf numFmtId="0" fontId="11" fillId="0" borderId="12" xfId="169" applyBorder="1"/>
    <xf numFmtId="183" fontId="11" fillId="0" borderId="12" xfId="40" applyNumberFormat="1" applyFont="1" applyBorder="1" applyAlignment="1">
      <alignment horizontal="center"/>
    </xf>
    <xf numFmtId="181" fontId="11" fillId="0" borderId="12" xfId="40" applyNumberFormat="1" applyFont="1" applyBorder="1"/>
    <xf numFmtId="168" fontId="100" fillId="24" borderId="0" xfId="218" applyNumberFormat="1" applyFont="1" applyFill="1" applyBorder="1"/>
    <xf numFmtId="168" fontId="78" fillId="0" borderId="0" xfId="218" applyNumberFormat="1" applyFont="1" applyFill="1" applyBorder="1" applyAlignment="1">
      <alignment horizontal="center"/>
    </xf>
    <xf numFmtId="168" fontId="100" fillId="0" borderId="0" xfId="218" applyNumberFormat="1" applyFont="1" applyFill="1" applyBorder="1"/>
    <xf numFmtId="168" fontId="78" fillId="0" borderId="0" xfId="218" applyNumberFormat="1" applyFont="1" applyFill="1" applyBorder="1"/>
    <xf numFmtId="168" fontId="78" fillId="0" borderId="0" xfId="218" applyNumberFormat="1" applyFont="1" applyFill="1" applyBorder="1" applyAlignment="1">
      <alignment horizontal="right"/>
    </xf>
    <xf numFmtId="10" fontId="78" fillId="0" borderId="0" xfId="216" applyNumberFormat="1" applyFont="1" applyFill="1" applyBorder="1" applyAlignment="1">
      <alignment horizontal="center"/>
    </xf>
    <xf numFmtId="166" fontId="100" fillId="0" borderId="0" xfId="216" applyNumberFormat="1" applyFont="1" applyFill="1" applyBorder="1" applyAlignment="1">
      <alignment horizontal="center"/>
    </xf>
    <xf numFmtId="1" fontId="100" fillId="0" borderId="0" xfId="216" applyNumberFormat="1" applyFont="1" applyFill="1" applyBorder="1" applyAlignment="1">
      <alignment horizontal="center"/>
    </xf>
    <xf numFmtId="168" fontId="100" fillId="0" borderId="0" xfId="218" applyNumberFormat="1" applyFont="1" applyFill="1" applyBorder="1" applyAlignment="1">
      <alignment vertical="center"/>
    </xf>
    <xf numFmtId="168" fontId="78" fillId="0" borderId="0" xfId="218" applyNumberFormat="1" applyFont="1" applyFill="1" applyBorder="1" applyAlignment="1">
      <alignment vertical="center"/>
    </xf>
    <xf numFmtId="168" fontId="103" fillId="0" borderId="0" xfId="218" applyNumberFormat="1" applyFont="1" applyFill="1" applyBorder="1" applyAlignment="1">
      <alignment vertical="center"/>
    </xf>
    <xf numFmtId="168" fontId="100" fillId="0" borderId="0" xfId="218" applyNumberFormat="1" applyFont="1" applyFill="1" applyBorder="1" applyAlignment="1">
      <alignment horizontal="right" vertical="center"/>
    </xf>
    <xf numFmtId="175" fontId="78" fillId="0" borderId="0" xfId="218" applyNumberFormat="1" applyFont="1" applyFill="1" applyBorder="1" applyAlignment="1">
      <alignment vertical="center"/>
    </xf>
    <xf numFmtId="0" fontId="78" fillId="0" borderId="0" xfId="219" applyFont="1"/>
    <xf numFmtId="168" fontId="78" fillId="0" borderId="0" xfId="219" applyNumberFormat="1" applyFont="1"/>
    <xf numFmtId="168" fontId="100" fillId="0" borderId="0" xfId="219" applyNumberFormat="1" applyFont="1"/>
    <xf numFmtId="0" fontId="104" fillId="0" borderId="0" xfId="219" applyFont="1" applyAlignment="1">
      <alignment horizontal="center"/>
    </xf>
    <xf numFmtId="0" fontId="105" fillId="33" borderId="104" xfId="219" applyFont="1" applyFill="1" applyBorder="1"/>
    <xf numFmtId="168" fontId="78" fillId="24" borderId="38" xfId="218" applyNumberFormat="1" applyFont="1" applyFill="1" applyBorder="1"/>
    <xf numFmtId="168" fontId="78" fillId="0" borderId="38" xfId="218" applyNumberFormat="1" applyFont="1" applyFill="1" applyBorder="1"/>
    <xf numFmtId="168" fontId="78" fillId="24" borderId="11" xfId="218" applyNumberFormat="1" applyFont="1" applyFill="1" applyBorder="1"/>
    <xf numFmtId="168" fontId="78" fillId="24" borderId="29" xfId="218" applyNumberFormat="1" applyFont="1" applyFill="1" applyBorder="1"/>
    <xf numFmtId="168" fontId="78" fillId="24" borderId="0" xfId="218" applyNumberFormat="1" applyFont="1" applyFill="1" applyBorder="1"/>
    <xf numFmtId="168" fontId="78" fillId="0" borderId="22" xfId="218" applyNumberFormat="1" applyFont="1" applyFill="1" applyBorder="1"/>
    <xf numFmtId="168" fontId="78" fillId="0" borderId="24" xfId="218" applyNumberFormat="1" applyFont="1" applyFill="1" applyBorder="1"/>
    <xf numFmtId="168" fontId="78" fillId="0" borderId="21" xfId="218" applyNumberFormat="1" applyFont="1" applyFill="1" applyBorder="1"/>
    <xf numFmtId="168" fontId="78" fillId="24" borderId="56" xfId="218" applyNumberFormat="1" applyFont="1" applyFill="1" applyBorder="1"/>
    <xf numFmtId="168" fontId="78" fillId="24" borderId="55" xfId="218" applyNumberFormat="1" applyFont="1" applyFill="1" applyBorder="1"/>
    <xf numFmtId="10" fontId="78" fillId="25" borderId="0" xfId="216" applyNumberFormat="1" applyFont="1" applyFill="1" applyBorder="1" applyAlignment="1">
      <alignment horizontal="center"/>
    </xf>
    <xf numFmtId="10" fontId="78" fillId="25" borderId="24" xfId="216" applyNumberFormat="1" applyFont="1" applyFill="1" applyBorder="1" applyAlignment="1">
      <alignment horizontal="center"/>
    </xf>
    <xf numFmtId="10" fontId="78" fillId="25" borderId="29" xfId="216" applyNumberFormat="1" applyFont="1" applyFill="1" applyBorder="1" applyAlignment="1">
      <alignment horizontal="center"/>
    </xf>
    <xf numFmtId="10" fontId="78" fillId="0" borderId="29" xfId="216" applyNumberFormat="1" applyFont="1" applyFill="1" applyBorder="1" applyAlignment="1">
      <alignment horizontal="center"/>
    </xf>
    <xf numFmtId="0" fontId="11" fillId="30" borderId="33" xfId="0" applyFont="1" applyFill="1" applyBorder="1"/>
    <xf numFmtId="186" fontId="11" fillId="0" borderId="0" xfId="225" applyNumberFormat="1"/>
    <xf numFmtId="0" fontId="107" fillId="0" borderId="0" xfId="226" applyFont="1" applyAlignment="1">
      <alignment horizontal="center" vertical="center"/>
    </xf>
    <xf numFmtId="0" fontId="47" fillId="0" borderId="0" xfId="226" applyFont="1" applyAlignment="1">
      <alignment horizontal="left" vertical="center"/>
    </xf>
    <xf numFmtId="0" fontId="51" fillId="0" borderId="0" xfId="226" applyFont="1" applyAlignment="1">
      <alignment horizontal="center" vertical="center"/>
    </xf>
    <xf numFmtId="0" fontId="60" fillId="41" borderId="61" xfId="226" applyFont="1" applyFill="1" applyBorder="1" applyAlignment="1">
      <alignment horizontal="centerContinuous" vertical="center" wrapText="1"/>
    </xf>
    <xf numFmtId="0" fontId="51" fillId="41" borderId="41" xfId="226" applyFont="1" applyFill="1" applyBorder="1" applyAlignment="1">
      <alignment horizontal="centerContinuous" vertical="center" wrapText="1"/>
    </xf>
    <xf numFmtId="0" fontId="48" fillId="0" borderId="22" xfId="226" applyFont="1" applyBorder="1" applyAlignment="1">
      <alignment horizontal="left" vertical="center"/>
    </xf>
    <xf numFmtId="0" fontId="48" fillId="27" borderId="18" xfId="226" applyFont="1" applyFill="1" applyBorder="1" applyAlignment="1">
      <alignment horizontal="centerContinuous" vertical="center"/>
    </xf>
    <xf numFmtId="0" fontId="52" fillId="27" borderId="52" xfId="226" applyFont="1" applyFill="1" applyBorder="1" applyAlignment="1">
      <alignment horizontal="centerContinuous" vertical="center"/>
    </xf>
    <xf numFmtId="0" fontId="52" fillId="28" borderId="18" xfId="226" applyFont="1" applyFill="1" applyBorder="1" applyAlignment="1">
      <alignment horizontal="centerContinuous" vertical="center"/>
    </xf>
    <xf numFmtId="0" fontId="52" fillId="28" borderId="52" xfId="226" applyFont="1" applyFill="1" applyBorder="1" applyAlignment="1">
      <alignment horizontal="centerContinuous" vertical="center"/>
    </xf>
    <xf numFmtId="0" fontId="52" fillId="28" borderId="52" xfId="226" applyFont="1" applyFill="1" applyBorder="1" applyAlignment="1">
      <alignment horizontal="center" vertical="center"/>
    </xf>
    <xf numFmtId="0" fontId="48" fillId="0" borderId="61" xfId="226" applyFont="1" applyBorder="1" applyAlignment="1">
      <alignment horizontal="center" vertical="center"/>
    </xf>
    <xf numFmtId="4" fontId="48" fillId="37" borderId="61" xfId="226" applyNumberFormat="1" applyFont="1" applyFill="1" applyBorder="1" applyAlignment="1">
      <alignment horizontal="right" vertical="center"/>
    </xf>
    <xf numFmtId="167" fontId="53" fillId="0" borderId="41" xfId="227" applyNumberFormat="1" applyFont="1" applyBorder="1" applyAlignment="1">
      <alignment horizontal="center" vertical="center"/>
    </xf>
    <xf numFmtId="4" fontId="54" fillId="28" borderId="61" xfId="226" applyNumberFormat="1" applyFont="1" applyFill="1" applyBorder="1" applyAlignment="1">
      <alignment horizontal="center" vertical="center"/>
    </xf>
    <xf numFmtId="0" fontId="52" fillId="28" borderId="41" xfId="226" applyFont="1" applyFill="1" applyBorder="1" applyAlignment="1">
      <alignment horizontal="center" vertical="center"/>
    </xf>
    <xf numFmtId="172" fontId="48" fillId="41" borderId="12" xfId="226" applyNumberFormat="1" applyFont="1" applyFill="1" applyBorder="1" applyAlignment="1">
      <alignment horizontal="right" vertical="center"/>
    </xf>
    <xf numFmtId="0" fontId="51" fillId="0" borderId="0" xfId="226" applyFont="1" applyAlignment="1">
      <alignment horizontal="left" vertical="center"/>
    </xf>
    <xf numFmtId="0" fontId="51" fillId="0" borderId="0" xfId="226" applyFont="1" applyAlignment="1">
      <alignment horizontal="right" vertical="center"/>
    </xf>
    <xf numFmtId="9" fontId="51" fillId="0" borderId="0" xfId="227" applyFont="1" applyAlignment="1">
      <alignment horizontal="center" vertical="center"/>
    </xf>
    <xf numFmtId="172" fontId="55" fillId="0" borderId="0" xfId="226" applyNumberFormat="1" applyFont="1" applyAlignment="1">
      <alignment horizontal="center" vertical="center"/>
    </xf>
    <xf numFmtId="0" fontId="48" fillId="0" borderId="20" xfId="226" applyFont="1" applyBorder="1" applyAlignment="1">
      <alignment horizontal="center" vertical="center"/>
    </xf>
    <xf numFmtId="4" fontId="49" fillId="27" borderId="20" xfId="226" applyNumberFormat="1" applyFont="1" applyFill="1" applyBorder="1" applyAlignment="1">
      <alignment horizontal="right" vertical="center"/>
    </xf>
    <xf numFmtId="167" fontId="53" fillId="42" borderId="5" xfId="227" applyNumberFormat="1" applyFont="1" applyFill="1" applyBorder="1" applyAlignment="1">
      <alignment horizontal="center" vertical="center"/>
    </xf>
    <xf numFmtId="4" fontId="56" fillId="28" borderId="20" xfId="226" applyNumberFormat="1" applyFont="1" applyFill="1" applyBorder="1" applyAlignment="1">
      <alignment horizontal="center" vertical="center"/>
    </xf>
    <xf numFmtId="167" fontId="53" fillId="0" borderId="5" xfId="227" applyNumberFormat="1" applyFont="1" applyBorder="1" applyAlignment="1">
      <alignment horizontal="center" vertical="center"/>
    </xf>
    <xf numFmtId="2" fontId="56" fillId="28" borderId="5" xfId="226" applyNumberFormat="1" applyFont="1" applyFill="1" applyBorder="1" applyAlignment="1">
      <alignment horizontal="center" vertical="center"/>
    </xf>
    <xf numFmtId="0" fontId="48" fillId="0" borderId="19" xfId="226" applyFont="1" applyBorder="1" applyAlignment="1">
      <alignment horizontal="center" vertical="center"/>
    </xf>
    <xf numFmtId="4" fontId="49" fillId="27" borderId="19" xfId="226" applyNumberFormat="1" applyFont="1" applyFill="1" applyBorder="1" applyAlignment="1">
      <alignment horizontal="right" vertical="center"/>
    </xf>
    <xf numFmtId="167" fontId="53" fillId="42" borderId="22" xfId="227" applyNumberFormat="1" applyFont="1" applyFill="1" applyBorder="1" applyAlignment="1">
      <alignment horizontal="center" vertical="center"/>
    </xf>
    <xf numFmtId="4" fontId="56" fillId="28" borderId="19" xfId="226" applyNumberFormat="1" applyFont="1" applyFill="1" applyBorder="1" applyAlignment="1">
      <alignment horizontal="center" vertical="center"/>
    </xf>
    <xf numFmtId="167" fontId="53" fillId="0" borderId="22" xfId="227" applyNumberFormat="1" applyFont="1" applyBorder="1" applyAlignment="1">
      <alignment horizontal="center" vertical="center"/>
    </xf>
    <xf numFmtId="2" fontId="56" fillId="28" borderId="22" xfId="226" applyNumberFormat="1" applyFont="1" applyFill="1" applyBorder="1" applyAlignment="1">
      <alignment horizontal="center" vertical="center"/>
    </xf>
    <xf numFmtId="0" fontId="49" fillId="0" borderId="0" xfId="226" applyFont="1" applyAlignment="1">
      <alignment horizontal="center" vertical="center"/>
    </xf>
    <xf numFmtId="167" fontId="51" fillId="0" borderId="0" xfId="226" applyNumberFormat="1" applyFont="1" applyAlignment="1">
      <alignment horizontal="center" vertical="center"/>
    </xf>
    <xf numFmtId="0" fontId="108" fillId="0" borderId="0" xfId="226" applyFont="1" applyAlignment="1">
      <alignment horizontal="right" vertical="center"/>
    </xf>
    <xf numFmtId="4" fontId="49" fillId="42" borderId="0" xfId="226" applyNumberFormat="1" applyFont="1" applyFill="1" applyAlignment="1">
      <alignment horizontal="center" vertical="center"/>
    </xf>
    <xf numFmtId="0" fontId="51" fillId="42" borderId="0" xfId="226" applyFont="1" applyFill="1" applyAlignment="1">
      <alignment horizontal="left" vertical="center"/>
    </xf>
    <xf numFmtId="0" fontId="48" fillId="0" borderId="0" xfId="226" applyFont="1" applyAlignment="1">
      <alignment horizontal="center" vertical="center"/>
    </xf>
    <xf numFmtId="172" fontId="54" fillId="28" borderId="61" xfId="226" applyNumberFormat="1" applyFont="1" applyFill="1" applyBorder="1" applyAlignment="1">
      <alignment horizontal="center" vertical="center"/>
    </xf>
    <xf numFmtId="174" fontId="56" fillId="28" borderId="41" xfId="226" applyNumberFormat="1" applyFont="1" applyFill="1" applyBorder="1" applyAlignment="1">
      <alignment horizontal="center" vertical="center"/>
    </xf>
    <xf numFmtId="0" fontId="55" fillId="0" borderId="0" xfId="226" applyFont="1" applyAlignment="1">
      <alignment horizontal="center" vertical="center"/>
    </xf>
    <xf numFmtId="4" fontId="55" fillId="42" borderId="0" xfId="226" applyNumberFormat="1" applyFont="1" applyFill="1" applyAlignment="1">
      <alignment horizontal="center" vertical="center"/>
    </xf>
    <xf numFmtId="0" fontId="55" fillId="42" borderId="0" xfId="226" applyFont="1" applyFill="1" applyAlignment="1">
      <alignment horizontal="left" vertical="center"/>
    </xf>
    <xf numFmtId="0" fontId="110" fillId="29" borderId="64" xfId="226" applyFont="1" applyFill="1" applyBorder="1" applyAlignment="1">
      <alignment horizontal="center" vertical="center"/>
    </xf>
    <xf numFmtId="0" fontId="110" fillId="29" borderId="65" xfId="226" applyFont="1" applyFill="1" applyBorder="1" applyAlignment="1">
      <alignment horizontal="center" vertical="center"/>
    </xf>
    <xf numFmtId="0" fontId="110" fillId="29" borderId="62" xfId="226" applyFont="1" applyFill="1" applyBorder="1" applyAlignment="1">
      <alignment horizontal="center" vertical="center"/>
    </xf>
    <xf numFmtId="0" fontId="110" fillId="29" borderId="66" xfId="226" applyFont="1" applyFill="1" applyBorder="1" applyAlignment="1">
      <alignment horizontal="center" vertical="center"/>
    </xf>
    <xf numFmtId="0" fontId="111" fillId="29" borderId="67" xfId="226" applyFont="1" applyFill="1" applyBorder="1" applyAlignment="1">
      <alignment horizontal="center" vertical="center"/>
    </xf>
    <xf numFmtId="0" fontId="52" fillId="0" borderId="23" xfId="226" applyFont="1" applyBorder="1" applyAlignment="1">
      <alignment horizontal="center" vertical="center"/>
    </xf>
    <xf numFmtId="4" fontId="56" fillId="0" borderId="51" xfId="226" applyNumberFormat="1" applyFont="1" applyBorder="1" applyAlignment="1">
      <alignment horizontal="center" vertical="center"/>
    </xf>
    <xf numFmtId="4" fontId="56" fillId="0" borderId="23" xfId="226" applyNumberFormat="1" applyFont="1" applyBorder="1" applyAlignment="1">
      <alignment horizontal="center" vertical="center"/>
    </xf>
    <xf numFmtId="4" fontId="112" fillId="0" borderId="0" xfId="226" applyNumberFormat="1" applyFont="1" applyAlignment="1">
      <alignment horizontal="left" vertical="center" indent="1"/>
    </xf>
    <xf numFmtId="0" fontId="52" fillId="0" borderId="24" xfId="226" applyFont="1" applyBorder="1" applyAlignment="1">
      <alignment horizontal="center" vertical="center"/>
    </xf>
    <xf numFmtId="4" fontId="56" fillId="0" borderId="21" xfId="226" applyNumberFormat="1" applyFont="1" applyBorder="1" applyAlignment="1">
      <alignment horizontal="center" vertical="center"/>
    </xf>
    <xf numFmtId="4" fontId="56" fillId="0" borderId="24" xfId="226" applyNumberFormat="1" applyFont="1" applyBorder="1" applyAlignment="1">
      <alignment horizontal="center" vertical="center"/>
    </xf>
    <xf numFmtId="0" fontId="112" fillId="0" borderId="0" xfId="226" applyFont="1" applyAlignment="1">
      <alignment horizontal="left" vertical="center" indent="1"/>
    </xf>
    <xf numFmtId="2" fontId="51" fillId="0" borderId="0" xfId="226" applyNumberFormat="1" applyFont="1" applyAlignment="1">
      <alignment horizontal="center" vertical="center"/>
    </xf>
    <xf numFmtId="0" fontId="51" fillId="0" borderId="0" xfId="228" applyFont="1" applyAlignment="1">
      <alignment horizontal="center" vertical="center"/>
    </xf>
    <xf numFmtId="0" fontId="57" fillId="0" borderId="0" xfId="226" applyFont="1" applyAlignment="1">
      <alignment horizontal="left" vertical="center"/>
    </xf>
    <xf numFmtId="0" fontId="57" fillId="0" borderId="0" xfId="226" applyFont="1" applyAlignment="1">
      <alignment horizontal="center" vertical="center"/>
    </xf>
    <xf numFmtId="185" fontId="51" fillId="0" borderId="0" xfId="229" applyFont="1" applyAlignment="1">
      <alignment horizontal="center" vertical="center"/>
    </xf>
    <xf numFmtId="0" fontId="52" fillId="0" borderId="0" xfId="226" applyFont="1" applyAlignment="1">
      <alignment horizontal="center" vertical="center"/>
    </xf>
    <xf numFmtId="17" fontId="113" fillId="39" borderId="12" xfId="226" applyNumberFormat="1" applyFont="1" applyFill="1" applyBorder="1" applyAlignment="1">
      <alignment horizontal="center"/>
    </xf>
    <xf numFmtId="0" fontId="114" fillId="0" borderId="0" xfId="226" applyFont="1" applyAlignment="1">
      <alignment horizontal="left" vertical="center"/>
    </xf>
    <xf numFmtId="0" fontId="114" fillId="0" borderId="0" xfId="226" applyFont="1" applyAlignment="1">
      <alignment horizontal="center" vertical="center"/>
    </xf>
    <xf numFmtId="0" fontId="57" fillId="0" borderId="61" xfId="226" applyFont="1" applyBorder="1" applyAlignment="1">
      <alignment horizontal="center" vertical="center" wrapText="1"/>
    </xf>
    <xf numFmtId="0" fontId="57" fillId="0" borderId="62" xfId="226" applyFont="1" applyBorder="1" applyAlignment="1">
      <alignment horizontal="center" vertical="center" wrapText="1"/>
    </xf>
    <xf numFmtId="0" fontId="57" fillId="0" borderId="12" xfId="226" applyFont="1" applyBorder="1" applyAlignment="1">
      <alignment horizontal="center" vertical="center" wrapText="1"/>
    </xf>
    <xf numFmtId="0" fontId="57" fillId="0" borderId="41" xfId="226" applyFont="1" applyBorder="1" applyAlignment="1">
      <alignment horizontal="center" vertical="center" wrapText="1"/>
    </xf>
    <xf numFmtId="0" fontId="115" fillId="0" borderId="0" xfId="226" applyFont="1" applyAlignment="1">
      <alignment horizontal="left" vertical="center" indent="1"/>
    </xf>
    <xf numFmtId="0" fontId="57" fillId="0" borderId="61" xfId="226" applyFont="1" applyBorder="1" applyAlignment="1">
      <alignment horizontal="center" vertical="center"/>
    </xf>
    <xf numFmtId="0" fontId="57" fillId="0" borderId="62" xfId="226" applyFont="1" applyBorder="1" applyAlignment="1">
      <alignment horizontal="center" vertical="center"/>
    </xf>
    <xf numFmtId="0" fontId="57" fillId="0" borderId="12" xfId="226" applyFont="1" applyBorder="1" applyAlignment="1">
      <alignment horizontal="center" vertical="center"/>
    </xf>
    <xf numFmtId="0" fontId="57" fillId="0" borderId="41" xfId="226" applyFont="1" applyBorder="1" applyAlignment="1">
      <alignment horizontal="center" vertical="center"/>
    </xf>
    <xf numFmtId="0" fontId="114" fillId="0" borderId="61" xfId="226" applyFont="1" applyBorder="1" applyAlignment="1">
      <alignment horizontal="center" vertical="center"/>
    </xf>
    <xf numFmtId="0" fontId="114" fillId="0" borderId="62" xfId="226" applyFont="1" applyBorder="1" applyAlignment="1">
      <alignment horizontal="center" vertical="center"/>
    </xf>
    <xf numFmtId="0" fontId="114" fillId="0" borderId="12" xfId="226" applyFont="1" applyBorder="1" applyAlignment="1">
      <alignment horizontal="center" vertical="center"/>
    </xf>
    <xf numFmtId="0" fontId="114" fillId="0" borderId="41" xfId="226" applyFont="1" applyBorder="1" applyAlignment="1">
      <alignment horizontal="center" vertical="center"/>
    </xf>
    <xf numFmtId="0" fontId="60" fillId="28" borderId="20" xfId="226" applyFont="1" applyFill="1" applyBorder="1" applyAlignment="1">
      <alignment horizontal="right" vertical="center"/>
    </xf>
    <xf numFmtId="0" fontId="60" fillId="28" borderId="0" xfId="226" applyFont="1" applyFill="1" applyAlignment="1">
      <alignment horizontal="center" vertical="center"/>
    </xf>
    <xf numFmtId="0" fontId="60" fillId="28" borderId="11" xfId="226" applyFont="1" applyFill="1" applyBorder="1" applyAlignment="1">
      <alignment horizontal="center" vertical="center"/>
    </xf>
    <xf numFmtId="2" fontId="60" fillId="28" borderId="5" xfId="226" applyNumberFormat="1" applyFont="1" applyFill="1" applyBorder="1" applyAlignment="1">
      <alignment horizontal="center" vertical="center"/>
    </xf>
    <xf numFmtId="1" fontId="60" fillId="28" borderId="5" xfId="226" applyNumberFormat="1" applyFont="1" applyFill="1" applyBorder="1" applyAlignment="1">
      <alignment horizontal="center" vertical="center"/>
    </xf>
    <xf numFmtId="0" fontId="60" fillId="28" borderId="20" xfId="226" applyFont="1" applyFill="1" applyBorder="1" applyAlignment="1">
      <alignment horizontal="center" vertical="center"/>
    </xf>
    <xf numFmtId="0" fontId="116" fillId="43" borderId="20" xfId="226" applyFont="1" applyFill="1" applyBorder="1" applyAlignment="1">
      <alignment horizontal="left" vertical="center"/>
    </xf>
    <xf numFmtId="0" fontId="116" fillId="43" borderId="0" xfId="226" applyFont="1" applyFill="1" applyAlignment="1">
      <alignment horizontal="center" vertical="center"/>
    </xf>
    <xf numFmtId="0" fontId="116" fillId="43" borderId="11" xfId="226" applyFont="1" applyFill="1" applyBorder="1" applyAlignment="1">
      <alignment horizontal="center" vertical="center"/>
    </xf>
    <xf numFmtId="2" fontId="117" fillId="43" borderId="5" xfId="226" applyNumberFormat="1" applyFont="1" applyFill="1" applyBorder="1" applyAlignment="1">
      <alignment horizontal="center" vertical="center"/>
    </xf>
    <xf numFmtId="0" fontId="60" fillId="0" borderId="20" xfId="226" applyFont="1" applyBorder="1" applyAlignment="1">
      <alignment horizontal="left" vertical="center" indent="2"/>
    </xf>
    <xf numFmtId="0" fontId="51" fillId="0" borderId="11" xfId="226" applyFont="1" applyBorder="1" applyAlignment="1">
      <alignment horizontal="center" vertical="center"/>
    </xf>
    <xf numFmtId="2" fontId="51" fillId="44" borderId="5" xfId="226" applyNumberFormat="1" applyFont="1" applyFill="1" applyBorder="1" applyAlignment="1">
      <alignment horizontal="center" vertical="center"/>
    </xf>
    <xf numFmtId="2" fontId="51" fillId="0" borderId="5" xfId="226" applyNumberFormat="1" applyFont="1" applyBorder="1" applyAlignment="1">
      <alignment horizontal="center" vertical="center"/>
    </xf>
    <xf numFmtId="1" fontId="51" fillId="0" borderId="5" xfId="226" applyNumberFormat="1" applyFont="1" applyBorder="1" applyAlignment="1">
      <alignment horizontal="center" vertical="center"/>
    </xf>
    <xf numFmtId="0" fontId="112" fillId="0" borderId="0" xfId="228" applyFont="1" applyAlignment="1">
      <alignment horizontal="left" vertical="center" indent="1"/>
    </xf>
    <xf numFmtId="0" fontId="61" fillId="0" borderId="20" xfId="226" applyFont="1" applyBorder="1" applyAlignment="1">
      <alignment horizontal="left" vertical="center" indent="1"/>
    </xf>
    <xf numFmtId="0" fontId="117" fillId="0" borderId="20" xfId="226" applyFont="1" applyBorder="1" applyAlignment="1">
      <alignment horizontal="left" vertical="center" indent="1"/>
    </xf>
    <xf numFmtId="0" fontId="118" fillId="0" borderId="0" xfId="226" applyFont="1" applyAlignment="1">
      <alignment horizontal="center" vertical="center"/>
    </xf>
    <xf numFmtId="0" fontId="118" fillId="0" borderId="11" xfId="226" applyFont="1" applyBorder="1" applyAlignment="1">
      <alignment horizontal="center" vertical="center"/>
    </xf>
    <xf numFmtId="2" fontId="118" fillId="0" borderId="5" xfId="226" applyNumberFormat="1" applyFont="1" applyBorder="1" applyAlignment="1">
      <alignment horizontal="center" vertical="center"/>
    </xf>
    <xf numFmtId="0" fontId="51" fillId="0" borderId="20" xfId="226" applyFont="1" applyBorder="1" applyAlignment="1">
      <alignment horizontal="left" vertical="center" indent="2"/>
    </xf>
    <xf numFmtId="0" fontId="118" fillId="0" borderId="20" xfId="226" applyFont="1" applyBorder="1" applyAlignment="1">
      <alignment horizontal="left" vertical="center" indent="2"/>
    </xf>
    <xf numFmtId="0" fontId="51" fillId="0" borderId="19" xfId="226" applyFont="1" applyBorder="1" applyAlignment="1">
      <alignment horizontal="left" vertical="center" indent="3"/>
    </xf>
    <xf numFmtId="0" fontId="51" fillId="0" borderId="21" xfId="226" applyFont="1" applyBorder="1" applyAlignment="1">
      <alignment horizontal="center" vertical="center"/>
    </xf>
    <xf numFmtId="0" fontId="51" fillId="0" borderId="24" xfId="226" applyFont="1" applyBorder="1" applyAlignment="1">
      <alignment horizontal="center" vertical="center"/>
    </xf>
    <xf numFmtId="2" fontId="51" fillId="0" borderId="22" xfId="226" applyNumberFormat="1" applyFont="1" applyBorder="1" applyAlignment="1">
      <alignment horizontal="center" vertical="center"/>
    </xf>
    <xf numFmtId="0" fontId="118" fillId="0" borderId="19" xfId="226" applyFont="1" applyBorder="1" applyAlignment="1">
      <alignment horizontal="left" vertical="center" indent="3"/>
    </xf>
    <xf numFmtId="0" fontId="118" fillId="0" borderId="21" xfId="226" applyFont="1" applyBorder="1" applyAlignment="1">
      <alignment horizontal="center" vertical="center"/>
    </xf>
    <xf numFmtId="0" fontId="118" fillId="0" borderId="24" xfId="226" applyFont="1" applyBorder="1" applyAlignment="1">
      <alignment horizontal="center" vertical="center"/>
    </xf>
    <xf numFmtId="2" fontId="118" fillId="0" borderId="22" xfId="226" applyNumberFormat="1" applyFont="1" applyBorder="1" applyAlignment="1">
      <alignment horizontal="center" vertical="center"/>
    </xf>
    <xf numFmtId="0" fontId="60" fillId="28" borderId="18" xfId="226" applyFont="1" applyFill="1" applyBorder="1" applyAlignment="1">
      <alignment horizontal="left" vertical="center"/>
    </xf>
    <xf numFmtId="0" fontId="60" fillId="28" borderId="51" xfId="226" applyFont="1" applyFill="1" applyBorder="1" applyAlignment="1">
      <alignment horizontal="center" vertical="center"/>
    </xf>
    <xf numFmtId="0" fontId="60" fillId="28" borderId="23" xfId="226" applyFont="1" applyFill="1" applyBorder="1" applyAlignment="1">
      <alignment horizontal="center" vertical="center"/>
    </xf>
    <xf numFmtId="2" fontId="60" fillId="28" borderId="52" xfId="226" applyNumberFormat="1" applyFont="1" applyFill="1" applyBorder="1" applyAlignment="1">
      <alignment horizontal="center" vertical="center"/>
    </xf>
    <xf numFmtId="0" fontId="116" fillId="43" borderId="18" xfId="226" applyFont="1" applyFill="1" applyBorder="1" applyAlignment="1">
      <alignment horizontal="left" vertical="center"/>
    </xf>
    <xf numFmtId="0" fontId="116" fillId="43" borderId="51" xfId="226" applyFont="1" applyFill="1" applyBorder="1" applyAlignment="1">
      <alignment horizontal="center" vertical="center"/>
    </xf>
    <xf numFmtId="0" fontId="116" fillId="43" borderId="23" xfId="226" applyFont="1" applyFill="1" applyBorder="1" applyAlignment="1">
      <alignment horizontal="center" vertical="center"/>
    </xf>
    <xf numFmtId="2" fontId="117" fillId="43" borderId="52" xfId="226" applyNumberFormat="1" applyFont="1" applyFill="1" applyBorder="1" applyAlignment="1">
      <alignment horizontal="center" vertical="center"/>
    </xf>
    <xf numFmtId="1" fontId="51" fillId="30" borderId="5" xfId="226" applyNumberFormat="1" applyFont="1" applyFill="1" applyBorder="1" applyAlignment="1">
      <alignment horizontal="center" vertical="center"/>
    </xf>
    <xf numFmtId="2" fontId="60" fillId="28" borderId="23" xfId="226" applyNumberFormat="1" applyFont="1" applyFill="1" applyBorder="1" applyAlignment="1">
      <alignment horizontal="center" vertical="center"/>
    </xf>
    <xf numFmtId="0" fontId="60" fillId="0" borderId="20" xfId="226" applyFont="1" applyBorder="1" applyAlignment="1">
      <alignment horizontal="left" vertical="center" wrapText="1" indent="2"/>
    </xf>
    <xf numFmtId="0" fontId="51" fillId="0" borderId="20" xfId="226" applyFont="1" applyBorder="1" applyAlignment="1">
      <alignment horizontal="left" vertical="center" indent="3"/>
    </xf>
    <xf numFmtId="2" fontId="51" fillId="0" borderId="5" xfId="228" applyNumberFormat="1" applyFont="1" applyBorder="1" applyAlignment="1">
      <alignment horizontal="center" vertical="center"/>
    </xf>
    <xf numFmtId="1" fontId="51" fillId="0" borderId="5" xfId="228" applyNumberFormat="1" applyFont="1" applyBorder="1" applyAlignment="1">
      <alignment horizontal="center" vertical="center"/>
    </xf>
    <xf numFmtId="0" fontId="60" fillId="28" borderId="18" xfId="226" applyFont="1" applyFill="1" applyBorder="1" applyAlignment="1">
      <alignment horizontal="center" vertical="center"/>
    </xf>
    <xf numFmtId="0" fontId="118" fillId="0" borderId="20" xfId="226" applyFont="1" applyBorder="1" applyAlignment="1">
      <alignment horizontal="left" vertical="center" indent="3"/>
    </xf>
    <xf numFmtId="0" fontId="60" fillId="28" borderId="20" xfId="226" applyFont="1" applyFill="1" applyBorder="1" applyAlignment="1">
      <alignment horizontal="left" vertical="center"/>
    </xf>
    <xf numFmtId="2" fontId="51" fillId="0" borderId="11" xfId="226" applyNumberFormat="1" applyFont="1" applyBorder="1" applyAlignment="1">
      <alignment horizontal="center" vertical="center"/>
    </xf>
    <xf numFmtId="0" fontId="49" fillId="0" borderId="20" xfId="226" applyFont="1" applyBorder="1" applyAlignment="1">
      <alignment horizontal="left" vertical="center" indent="2"/>
    </xf>
    <xf numFmtId="0" fontId="51" fillId="0" borderId="20" xfId="226" applyFont="1" applyBorder="1" applyAlignment="1">
      <alignment horizontal="center" vertical="center"/>
    </xf>
    <xf numFmtId="0" fontId="51" fillId="0" borderId="5" xfId="226" applyFont="1" applyBorder="1" applyAlignment="1">
      <alignment horizontal="center" vertical="center"/>
    </xf>
    <xf numFmtId="0" fontId="60" fillId="28" borderId="18" xfId="226" applyFont="1" applyFill="1" applyBorder="1" applyAlignment="1">
      <alignment horizontal="right" vertical="center"/>
    </xf>
    <xf numFmtId="1" fontId="60" fillId="28" borderId="52" xfId="226" applyNumberFormat="1" applyFont="1" applyFill="1" applyBorder="1" applyAlignment="1">
      <alignment horizontal="center" vertical="center"/>
    </xf>
    <xf numFmtId="0" fontId="119" fillId="0" borderId="20" xfId="226" applyFont="1" applyBorder="1" applyAlignment="1">
      <alignment horizontal="left" vertical="center" indent="1"/>
    </xf>
    <xf numFmtId="2" fontId="51" fillId="0" borderId="24" xfId="226" applyNumberFormat="1" applyFont="1" applyBorder="1" applyAlignment="1">
      <alignment horizontal="center" vertical="center"/>
    </xf>
    <xf numFmtId="0" fontId="51" fillId="0" borderId="19" xfId="226" applyFont="1" applyBorder="1" applyAlignment="1">
      <alignment horizontal="center" vertical="center"/>
    </xf>
    <xf numFmtId="0" fontId="51" fillId="0" borderId="22" xfId="226" applyFont="1" applyBorder="1" applyAlignment="1">
      <alignment horizontal="center" vertical="center"/>
    </xf>
    <xf numFmtId="1" fontId="51" fillId="0" borderId="22" xfId="226" applyNumberFormat="1" applyFont="1" applyBorder="1" applyAlignment="1">
      <alignment horizontal="center" vertical="center"/>
    </xf>
    <xf numFmtId="2" fontId="112" fillId="0" borderId="0" xfId="226" applyNumberFormat="1" applyFont="1" applyAlignment="1">
      <alignment horizontal="left" vertical="center" indent="1"/>
    </xf>
    <xf numFmtId="0" fontId="60" fillId="26" borderId="20" xfId="226" applyFont="1" applyFill="1" applyBorder="1" applyAlignment="1">
      <alignment horizontal="left" vertical="center" indent="2"/>
    </xf>
    <xf numFmtId="0" fontId="51" fillId="0" borderId="11" xfId="226" quotePrefix="1" applyFont="1" applyBorder="1" applyAlignment="1">
      <alignment horizontal="center" vertical="center"/>
    </xf>
    <xf numFmtId="0" fontId="51" fillId="0" borderId="20" xfId="226" applyFont="1" applyBorder="1" applyAlignment="1">
      <alignment horizontal="left" vertical="center" indent="1"/>
    </xf>
    <xf numFmtId="0" fontId="49" fillId="0" borderId="11" xfId="226" quotePrefix="1" applyFont="1" applyBorder="1" applyAlignment="1">
      <alignment horizontal="center" vertical="center"/>
    </xf>
    <xf numFmtId="2" fontId="49" fillId="44" borderId="5" xfId="226" applyNumberFormat="1" applyFont="1" applyFill="1" applyBorder="1" applyAlignment="1">
      <alignment horizontal="center" vertical="center"/>
    </xf>
    <xf numFmtId="1" fontId="49" fillId="0" borderId="5" xfId="226" applyNumberFormat="1" applyFont="1" applyBorder="1" applyAlignment="1">
      <alignment horizontal="center" vertical="center"/>
    </xf>
    <xf numFmtId="0" fontId="118" fillId="0" borderId="20" xfId="226" applyFont="1" applyBorder="1" applyAlignment="1">
      <alignment horizontal="left" vertical="center" indent="1"/>
    </xf>
    <xf numFmtId="2" fontId="51" fillId="44" borderId="11" xfId="226" applyNumberFormat="1" applyFont="1" applyFill="1" applyBorder="1" applyAlignment="1">
      <alignment horizontal="center" vertical="center"/>
    </xf>
    <xf numFmtId="0" fontId="60" fillId="0" borderId="20" xfId="228" applyFont="1" applyBorder="1" applyAlignment="1">
      <alignment horizontal="left" vertical="center" indent="2"/>
    </xf>
    <xf numFmtId="0" fontId="49" fillId="0" borderId="11" xfId="228" quotePrefix="1" applyFont="1" applyBorder="1" applyAlignment="1">
      <alignment horizontal="center" vertical="center"/>
    </xf>
    <xf numFmtId="0" fontId="51" fillId="0" borderId="11" xfId="228" applyFont="1" applyBorder="1" applyAlignment="1">
      <alignment horizontal="center" vertical="center"/>
    </xf>
    <xf numFmtId="164" fontId="51" fillId="0" borderId="0" xfId="226" applyNumberFormat="1" applyFont="1" applyAlignment="1">
      <alignment horizontal="center" vertical="center"/>
    </xf>
    <xf numFmtId="164" fontId="120" fillId="0" borderId="0" xfId="226" applyNumberFormat="1" applyFont="1"/>
    <xf numFmtId="0" fontId="51" fillId="0" borderId="11" xfId="228" quotePrefix="1" applyFont="1" applyBorder="1" applyAlignment="1">
      <alignment horizontal="center" vertical="center"/>
    </xf>
    <xf numFmtId="1" fontId="121" fillId="0" borderId="5" xfId="226" applyNumberFormat="1" applyFont="1" applyBorder="1" applyAlignment="1">
      <alignment horizontal="center" vertical="center"/>
    </xf>
    <xf numFmtId="2" fontId="51" fillId="45" borderId="5" xfId="226" applyNumberFormat="1" applyFont="1" applyFill="1" applyBorder="1" applyAlignment="1">
      <alignment horizontal="center" vertical="center"/>
    </xf>
    <xf numFmtId="0" fontId="51" fillId="46" borderId="0" xfId="226" applyFont="1" applyFill="1" applyAlignment="1">
      <alignment horizontal="center" vertical="center"/>
    </xf>
    <xf numFmtId="0" fontId="51" fillId="46" borderId="11" xfId="226" quotePrefix="1" applyFont="1" applyFill="1" applyBorder="1" applyAlignment="1">
      <alignment horizontal="center" vertical="center"/>
    </xf>
    <xf numFmtId="2" fontId="121" fillId="30" borderId="5" xfId="226" applyNumberFormat="1" applyFont="1" applyFill="1" applyBorder="1" applyAlignment="1">
      <alignment horizontal="center" vertical="center"/>
    </xf>
    <xf numFmtId="2" fontId="121" fillId="0" borderId="5" xfId="226" applyNumberFormat="1" applyFont="1" applyBorder="1" applyAlignment="1">
      <alignment horizontal="center" vertical="center"/>
    </xf>
    <xf numFmtId="0" fontId="51" fillId="25" borderId="11" xfId="226" applyFont="1" applyFill="1" applyBorder="1" applyAlignment="1">
      <alignment horizontal="center" vertical="center"/>
    </xf>
    <xf numFmtId="2" fontId="60" fillId="26" borderId="5" xfId="226" applyNumberFormat="1" applyFont="1" applyFill="1" applyBorder="1" applyAlignment="1">
      <alignment horizontal="center" vertical="center"/>
    </xf>
    <xf numFmtId="0" fontId="51" fillId="0" borderId="5" xfId="228" applyFont="1" applyBorder="1" applyAlignment="1">
      <alignment horizontal="center" vertical="center"/>
    </xf>
    <xf numFmtId="2" fontId="51" fillId="44" borderId="0" xfId="226" applyNumberFormat="1" applyFont="1" applyFill="1" applyAlignment="1">
      <alignment horizontal="center" vertical="center"/>
    </xf>
    <xf numFmtId="0" fontId="51" fillId="0" borderId="19" xfId="226" applyFont="1" applyBorder="1" applyAlignment="1">
      <alignment horizontal="left" vertical="center" indent="2"/>
    </xf>
    <xf numFmtId="2" fontId="122" fillId="0" borderId="5" xfId="226" applyNumberFormat="1" applyFont="1" applyBorder="1" applyAlignment="1">
      <alignment horizontal="center" vertical="center"/>
    </xf>
    <xf numFmtId="0" fontId="51" fillId="0" borderId="20" xfId="228" applyFont="1" applyBorder="1" applyAlignment="1">
      <alignment horizontal="left" vertical="center" indent="2"/>
    </xf>
    <xf numFmtId="1" fontId="123" fillId="0" borderId="5" xfId="226" applyNumberFormat="1" applyFont="1" applyBorder="1" applyAlignment="1">
      <alignment horizontal="center" vertical="center"/>
    </xf>
    <xf numFmtId="0" fontId="51" fillId="28" borderId="51" xfId="226" applyFont="1" applyFill="1" applyBorder="1" applyAlignment="1">
      <alignment horizontal="center" vertical="center"/>
    </xf>
    <xf numFmtId="0" fontId="51" fillId="28" borderId="11" xfId="226" applyFont="1" applyFill="1" applyBorder="1" applyAlignment="1">
      <alignment horizontal="center" vertical="center"/>
    </xf>
    <xf numFmtId="2" fontId="51" fillId="30" borderId="5" xfId="226" applyNumberFormat="1" applyFont="1" applyFill="1" applyBorder="1" applyAlignment="1">
      <alignment horizontal="center" vertical="center"/>
    </xf>
    <xf numFmtId="2" fontId="121" fillId="0" borderId="5" xfId="228" applyNumberFormat="1" applyFont="1" applyBorder="1" applyAlignment="1">
      <alignment horizontal="center" vertical="center"/>
    </xf>
    <xf numFmtId="0" fontId="51" fillId="28" borderId="23" xfId="226" applyFont="1" applyFill="1" applyBorder="1" applyAlignment="1">
      <alignment horizontal="center" vertical="center"/>
    </xf>
    <xf numFmtId="0" fontId="124" fillId="0" borderId="0" xfId="226" applyFont="1"/>
    <xf numFmtId="0" fontId="14" fillId="0" borderId="11" xfId="0" applyFont="1" applyBorder="1" applyAlignment="1">
      <alignment horizontal="center"/>
    </xf>
    <xf numFmtId="166" fontId="14" fillId="0" borderId="0" xfId="0" applyNumberFormat="1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/>
    </xf>
    <xf numFmtId="4" fontId="56" fillId="0" borderId="21" xfId="0" applyNumberFormat="1" applyFont="1" applyBorder="1" applyAlignment="1">
      <alignment horizontal="center" vertical="center"/>
    </xf>
    <xf numFmtId="0" fontId="105" fillId="33" borderId="104" xfId="219" applyFont="1" applyFill="1" applyBorder="1" applyAlignment="1">
      <alignment horizontal="center"/>
    </xf>
    <xf numFmtId="0" fontId="78" fillId="24" borderId="29" xfId="219" applyFont="1" applyFill="1" applyBorder="1" applyAlignment="1">
      <alignment horizontal="left" indent="1"/>
    </xf>
    <xf numFmtId="0" fontId="78" fillId="24" borderId="29" xfId="219" applyFont="1" applyFill="1" applyBorder="1" applyAlignment="1">
      <alignment horizontal="center"/>
    </xf>
    <xf numFmtId="0" fontId="78" fillId="24" borderId="24" xfId="219" applyFont="1" applyFill="1" applyBorder="1" applyAlignment="1">
      <alignment horizontal="left" indent="1"/>
    </xf>
    <xf numFmtId="0" fontId="78" fillId="24" borderId="24" xfId="219" applyFont="1" applyFill="1" applyBorder="1" applyAlignment="1">
      <alignment horizontal="center"/>
    </xf>
    <xf numFmtId="0" fontId="105" fillId="33" borderId="104" xfId="219" applyFont="1" applyFill="1" applyBorder="1" applyAlignment="1">
      <alignment horizontal="left" indent="1"/>
    </xf>
    <xf numFmtId="0" fontId="78" fillId="24" borderId="109" xfId="219" applyFont="1" applyFill="1" applyBorder="1" applyAlignment="1">
      <alignment horizontal="center"/>
    </xf>
    <xf numFmtId="0" fontId="78" fillId="24" borderId="0" xfId="219" applyFont="1" applyFill="1"/>
    <xf numFmtId="166" fontId="78" fillId="0" borderId="0" xfId="219" applyNumberFormat="1" applyFont="1"/>
    <xf numFmtId="0" fontId="78" fillId="24" borderId="108" xfId="219" applyFont="1" applyFill="1" applyBorder="1"/>
    <xf numFmtId="0" fontId="78" fillId="24" borderId="20" xfId="219" applyFont="1" applyFill="1" applyBorder="1"/>
    <xf numFmtId="0" fontId="78" fillId="24" borderId="11" xfId="219" applyFont="1" applyFill="1" applyBorder="1" applyAlignment="1">
      <alignment horizontal="center"/>
    </xf>
    <xf numFmtId="0" fontId="78" fillId="0" borderId="11" xfId="219" applyFont="1" applyBorder="1" applyAlignment="1">
      <alignment horizontal="center"/>
    </xf>
    <xf numFmtId="0" fontId="78" fillId="0" borderId="19" xfId="219" applyFont="1" applyBorder="1"/>
    <xf numFmtId="0" fontId="78" fillId="0" borderId="24" xfId="219" applyFont="1" applyBorder="1" applyAlignment="1">
      <alignment horizontal="center"/>
    </xf>
    <xf numFmtId="0" fontId="78" fillId="24" borderId="0" xfId="219" applyFont="1" applyFill="1" applyAlignment="1">
      <alignment horizontal="center"/>
    </xf>
    <xf numFmtId="0" fontId="100" fillId="0" borderId="0" xfId="219" applyFont="1" applyAlignment="1">
      <alignment horizontal="center"/>
    </xf>
    <xf numFmtId="0" fontId="100" fillId="0" borderId="0" xfId="219" applyFont="1"/>
    <xf numFmtId="0" fontId="78" fillId="24" borderId="29" xfId="219" applyFont="1" applyFill="1" applyBorder="1"/>
    <xf numFmtId="0" fontId="78" fillId="24" borderId="11" xfId="219" applyFont="1" applyFill="1" applyBorder="1"/>
    <xf numFmtId="0" fontId="78" fillId="0" borderId="11" xfId="219" applyFont="1" applyBorder="1"/>
    <xf numFmtId="0" fontId="101" fillId="0" borderId="0" xfId="219" applyFont="1"/>
    <xf numFmtId="0" fontId="100" fillId="40" borderId="104" xfId="219" applyFont="1" applyFill="1" applyBorder="1"/>
    <xf numFmtId="0" fontId="78" fillId="40" borderId="104" xfId="219" applyFont="1" applyFill="1" applyBorder="1"/>
    <xf numFmtId="168" fontId="100" fillId="40" borderId="104" xfId="219" applyNumberFormat="1" applyFont="1" applyFill="1" applyBorder="1"/>
    <xf numFmtId="0" fontId="78" fillId="25" borderId="0" xfId="219" applyFont="1" applyFill="1"/>
    <xf numFmtId="0" fontId="100" fillId="25" borderId="0" xfId="219" applyFont="1" applyFill="1"/>
    <xf numFmtId="168" fontId="78" fillId="25" borderId="0" xfId="219" applyNumberFormat="1" applyFont="1" applyFill="1"/>
    <xf numFmtId="0" fontId="78" fillId="24" borderId="38" xfId="219" applyFont="1" applyFill="1" applyBorder="1"/>
    <xf numFmtId="41" fontId="78" fillId="0" borderId="0" xfId="219" applyNumberFormat="1" applyFont="1"/>
    <xf numFmtId="0" fontId="100" fillId="40" borderId="104" xfId="219" applyFont="1" applyFill="1" applyBorder="1" applyAlignment="1">
      <alignment horizontal="center"/>
    </xf>
    <xf numFmtId="0" fontId="105" fillId="33" borderId="104" xfId="219" applyFont="1" applyFill="1" applyBorder="1" applyAlignment="1">
      <alignment horizontal="center" vertical="center"/>
    </xf>
    <xf numFmtId="164" fontId="78" fillId="0" borderId="0" xfId="219" applyNumberFormat="1" applyFont="1" applyAlignment="1">
      <alignment horizontal="center"/>
    </xf>
    <xf numFmtId="0" fontId="78" fillId="24" borderId="29" xfId="219" applyFont="1" applyFill="1" applyBorder="1" applyAlignment="1">
      <alignment horizontal="left" vertical="center" indent="1"/>
    </xf>
    <xf numFmtId="0" fontId="78" fillId="25" borderId="29" xfId="219" applyFont="1" applyFill="1" applyBorder="1" applyAlignment="1">
      <alignment horizontal="center" vertical="center"/>
    </xf>
    <xf numFmtId="168" fontId="78" fillId="25" borderId="29" xfId="219" applyNumberFormat="1" applyFont="1" applyFill="1" applyBorder="1"/>
    <xf numFmtId="164" fontId="78" fillId="0" borderId="0" xfId="219" applyNumberFormat="1" applyFont="1"/>
    <xf numFmtId="0" fontId="78" fillId="24" borderId="11" xfId="219" applyFont="1" applyFill="1" applyBorder="1" applyAlignment="1">
      <alignment horizontal="left" vertical="center" indent="1"/>
    </xf>
    <xf numFmtId="0" fontId="78" fillId="25" borderId="11" xfId="219" applyFont="1" applyFill="1" applyBorder="1" applyAlignment="1">
      <alignment horizontal="center" vertical="center"/>
    </xf>
    <xf numFmtId="168" fontId="78" fillId="25" borderId="11" xfId="219" applyNumberFormat="1" applyFont="1" applyFill="1" applyBorder="1"/>
    <xf numFmtId="0" fontId="78" fillId="24" borderId="24" xfId="219" applyFont="1" applyFill="1" applyBorder="1" applyAlignment="1">
      <alignment horizontal="left" vertical="center" indent="1"/>
    </xf>
    <xf numFmtId="0" fontId="78" fillId="25" borderId="24" xfId="219" applyFont="1" applyFill="1" applyBorder="1" applyAlignment="1">
      <alignment horizontal="center" vertical="center"/>
    </xf>
    <xf numFmtId="168" fontId="78" fillId="25" borderId="24" xfId="219" applyNumberFormat="1" applyFont="1" applyFill="1" applyBorder="1"/>
    <xf numFmtId="164" fontId="100" fillId="0" borderId="0" xfId="219" applyNumberFormat="1" applyFont="1"/>
    <xf numFmtId="0" fontId="100" fillId="24" borderId="11" xfId="219" applyFont="1" applyFill="1" applyBorder="1" applyAlignment="1">
      <alignment horizontal="left" vertical="center"/>
    </xf>
    <xf numFmtId="168" fontId="100" fillId="25" borderId="11" xfId="219" applyNumberFormat="1" applyFont="1" applyFill="1" applyBorder="1"/>
    <xf numFmtId="0" fontId="100" fillId="40" borderId="104" xfId="219" applyFont="1" applyFill="1" applyBorder="1" applyAlignment="1">
      <alignment horizontal="center" vertical="center"/>
    </xf>
    <xf numFmtId="0" fontId="105" fillId="33" borderId="110" xfId="219" applyFont="1" applyFill="1" applyBorder="1" applyAlignment="1">
      <alignment horizontal="center"/>
    </xf>
    <xf numFmtId="164" fontId="78" fillId="25" borderId="0" xfId="219" applyNumberFormat="1" applyFont="1" applyFill="1"/>
    <xf numFmtId="184" fontId="78" fillId="24" borderId="14" xfId="218" applyNumberFormat="1" applyFont="1" applyFill="1" applyBorder="1" applyAlignment="1">
      <alignment horizontal="center" vertical="center"/>
    </xf>
    <xf numFmtId="184" fontId="78" fillId="24" borderId="105" xfId="218" applyNumberFormat="1" applyFont="1" applyFill="1" applyBorder="1" applyAlignment="1">
      <alignment horizontal="center" vertical="center"/>
    </xf>
    <xf numFmtId="184" fontId="78" fillId="24" borderId="112" xfId="218" applyNumberFormat="1" applyFont="1" applyFill="1" applyBorder="1" applyAlignment="1">
      <alignment horizontal="center" vertical="center"/>
    </xf>
    <xf numFmtId="184" fontId="78" fillId="25" borderId="0" xfId="219" applyNumberFormat="1" applyFont="1" applyFill="1"/>
    <xf numFmtId="0" fontId="100" fillId="24" borderId="12" xfId="219" applyFont="1" applyFill="1" applyBorder="1" applyAlignment="1">
      <alignment vertical="center"/>
    </xf>
    <xf numFmtId="0" fontId="78" fillId="25" borderId="12" xfId="219" applyFont="1" applyFill="1" applyBorder="1" applyAlignment="1">
      <alignment horizontal="center" vertical="center"/>
    </xf>
    <xf numFmtId="168" fontId="100" fillId="25" borderId="12" xfId="219" applyNumberFormat="1" applyFont="1" applyFill="1" applyBorder="1"/>
    <xf numFmtId="168" fontId="101" fillId="0" borderId="0" xfId="219" applyNumberFormat="1" applyFont="1"/>
    <xf numFmtId="0" fontId="100" fillId="40" borderId="106" xfId="219" applyFont="1" applyFill="1" applyBorder="1"/>
    <xf numFmtId="0" fontId="100" fillId="40" borderId="105" xfId="219" applyFont="1" applyFill="1" applyBorder="1" applyAlignment="1">
      <alignment horizontal="center" vertical="center"/>
    </xf>
    <xf numFmtId="168" fontId="100" fillId="40" borderId="105" xfId="219" applyNumberFormat="1" applyFont="1" applyFill="1" applyBorder="1"/>
    <xf numFmtId="0" fontId="100" fillId="0" borderId="0" xfId="219" applyFont="1" applyAlignment="1">
      <alignment horizontal="center" vertical="center"/>
    </xf>
    <xf numFmtId="0" fontId="78" fillId="0" borderId="0" xfId="219" applyFont="1" applyAlignment="1">
      <alignment vertical="center"/>
    </xf>
    <xf numFmtId="0" fontId="100" fillId="0" borderId="0" xfId="219" applyFont="1" applyAlignment="1">
      <alignment vertical="center"/>
    </xf>
    <xf numFmtId="1" fontId="78" fillId="0" borderId="0" xfId="219" applyNumberFormat="1" applyFont="1" applyAlignment="1">
      <alignment vertical="center"/>
    </xf>
    <xf numFmtId="0" fontId="78" fillId="0" borderId="0" xfId="219" applyFont="1" applyAlignment="1">
      <alignment horizontal="left" vertical="center"/>
    </xf>
    <xf numFmtId="0" fontId="100" fillId="0" borderId="0" xfId="219" applyFont="1" applyAlignment="1">
      <alignment horizontal="left" vertical="center"/>
    </xf>
    <xf numFmtId="2" fontId="78" fillId="0" borderId="0" xfId="219" applyNumberFormat="1" applyFont="1" applyAlignment="1">
      <alignment vertical="center"/>
    </xf>
    <xf numFmtId="173" fontId="78" fillId="0" borderId="0" xfId="219" applyNumberFormat="1" applyFont="1" applyAlignment="1">
      <alignment vertical="center"/>
    </xf>
    <xf numFmtId="168" fontId="78" fillId="0" borderId="0" xfId="219" applyNumberFormat="1" applyFont="1" applyAlignment="1">
      <alignment vertical="center"/>
    </xf>
    <xf numFmtId="0" fontId="78" fillId="0" borderId="0" xfId="219" applyFont="1" applyAlignment="1">
      <alignment horizontal="left" vertical="center" indent="2"/>
    </xf>
    <xf numFmtId="173" fontId="102" fillId="0" borderId="0" xfId="219" applyNumberFormat="1" applyFont="1" applyAlignment="1">
      <alignment vertical="center"/>
    </xf>
    <xf numFmtId="168" fontId="100" fillId="0" borderId="0" xfId="219" applyNumberFormat="1" applyFont="1" applyAlignment="1">
      <alignment vertical="center"/>
    </xf>
    <xf numFmtId="174" fontId="78" fillId="0" borderId="0" xfId="219" applyNumberFormat="1" applyFont="1"/>
    <xf numFmtId="2" fontId="100" fillId="0" borderId="0" xfId="219" applyNumberFormat="1" applyFont="1"/>
    <xf numFmtId="0" fontId="78" fillId="0" borderId="0" xfId="219" applyFont="1" applyAlignment="1">
      <alignment horizontal="center" vertical="center"/>
    </xf>
    <xf numFmtId="168" fontId="78" fillId="0" borderId="0" xfId="219" applyNumberFormat="1" applyFont="1" applyAlignment="1">
      <alignment horizontal="center" vertical="center"/>
    </xf>
    <xf numFmtId="176" fontId="100" fillId="0" borderId="0" xfId="219" applyNumberFormat="1" applyFont="1" applyAlignment="1">
      <alignment horizontal="center" vertical="center"/>
    </xf>
    <xf numFmtId="0" fontId="101" fillId="25" borderId="0" xfId="219" applyFont="1" applyFill="1"/>
    <xf numFmtId="0" fontId="78" fillId="0" borderId="0" xfId="219" applyFont="1" applyAlignment="1">
      <alignment horizontal="center"/>
    </xf>
    <xf numFmtId="10" fontId="78" fillId="0" borderId="0" xfId="219" applyNumberFormat="1" applyFont="1" applyAlignment="1">
      <alignment horizontal="center"/>
    </xf>
    <xf numFmtId="10" fontId="78" fillId="0" borderId="0" xfId="219" applyNumberFormat="1" applyFont="1"/>
    <xf numFmtId="0" fontId="100" fillId="0" borderId="0" xfId="219" applyFont="1" applyAlignment="1">
      <alignment wrapText="1"/>
    </xf>
    <xf numFmtId="1" fontId="78" fillId="0" borderId="0" xfId="219" applyNumberFormat="1" applyFont="1"/>
    <xf numFmtId="1" fontId="78" fillId="24" borderId="0" xfId="219" applyNumberFormat="1" applyFont="1" applyFill="1"/>
    <xf numFmtId="0" fontId="100" fillId="24" borderId="0" xfId="219" applyFont="1" applyFill="1"/>
    <xf numFmtId="10" fontId="101" fillId="25" borderId="0" xfId="219" applyNumberFormat="1" applyFont="1" applyFill="1" applyAlignment="1">
      <alignment horizontal="center"/>
    </xf>
    <xf numFmtId="0" fontId="78" fillId="0" borderId="61" xfId="219" applyFont="1" applyBorder="1"/>
    <xf numFmtId="0" fontId="78" fillId="24" borderId="62" xfId="219" applyFont="1" applyFill="1" applyBorder="1" applyAlignment="1">
      <alignment horizontal="center"/>
    </xf>
    <xf numFmtId="9" fontId="78" fillId="25" borderId="41" xfId="219" applyNumberFormat="1" applyFont="1" applyFill="1" applyBorder="1" applyAlignment="1">
      <alignment horizontal="center"/>
    </xf>
    <xf numFmtId="0" fontId="78" fillId="24" borderId="21" xfId="219" applyFont="1" applyFill="1" applyBorder="1" applyAlignment="1">
      <alignment horizontal="center"/>
    </xf>
    <xf numFmtId="9" fontId="78" fillId="25" borderId="22" xfId="219" applyNumberFormat="1" applyFont="1" applyFill="1" applyBorder="1" applyAlignment="1">
      <alignment horizontal="center"/>
    </xf>
    <xf numFmtId="0" fontId="78" fillId="24" borderId="19" xfId="219" applyFont="1" applyFill="1" applyBorder="1"/>
    <xf numFmtId="168" fontId="78" fillId="24" borderId="24" xfId="218" applyNumberFormat="1" applyFont="1" applyFill="1" applyBorder="1"/>
    <xf numFmtId="43" fontId="78" fillId="24" borderId="29" xfId="218" applyNumberFormat="1" applyFont="1" applyFill="1" applyBorder="1"/>
    <xf numFmtId="0" fontId="78" fillId="0" borderId="38" xfId="219" applyFont="1" applyBorder="1"/>
    <xf numFmtId="0" fontId="78" fillId="0" borderId="38" xfId="219" applyFont="1" applyBorder="1" applyAlignment="1">
      <alignment horizontal="center"/>
    </xf>
    <xf numFmtId="3" fontId="78" fillId="0" borderId="29" xfId="218" applyNumberFormat="1" applyFont="1" applyFill="1" applyBorder="1"/>
    <xf numFmtId="3" fontId="100" fillId="40" borderId="104" xfId="219" applyNumberFormat="1" applyFont="1" applyFill="1" applyBorder="1"/>
    <xf numFmtId="175" fontId="78" fillId="0" borderId="0" xfId="219" applyNumberFormat="1" applyFont="1"/>
    <xf numFmtId="0" fontId="0" fillId="0" borderId="0" xfId="0" applyAlignment="1">
      <alignment horizontal="center" vertical="center"/>
    </xf>
    <xf numFmtId="9" fontId="0" fillId="0" borderId="0" xfId="0" applyNumberFormat="1"/>
    <xf numFmtId="0" fontId="15" fillId="0" borderId="12" xfId="0" applyFont="1" applyBorder="1" applyAlignment="1">
      <alignment vertical="center"/>
    </xf>
    <xf numFmtId="9" fontId="41" fillId="0" borderId="12" xfId="56" applyFont="1" applyBorder="1" applyAlignment="1">
      <alignment horizontal="center" vertical="center"/>
    </xf>
    <xf numFmtId="9" fontId="14" fillId="0" borderId="12" xfId="0" applyNumberFormat="1" applyFont="1" applyBorder="1" applyAlignment="1">
      <alignment horizontal="center" vertical="center"/>
    </xf>
    <xf numFmtId="0" fontId="126" fillId="47" borderId="12" xfId="0" applyFont="1" applyFill="1" applyBorder="1" applyAlignment="1">
      <alignment horizontal="center" vertical="center" wrapText="1"/>
    </xf>
    <xf numFmtId="0" fontId="127" fillId="47" borderId="12" xfId="0" applyFont="1" applyFill="1" applyBorder="1" applyAlignment="1">
      <alignment horizontal="center" vertical="center" wrapText="1"/>
    </xf>
    <xf numFmtId="0" fontId="98" fillId="48" borderId="12" xfId="0" applyFont="1" applyFill="1" applyBorder="1" applyAlignment="1">
      <alignment horizontal="center" vertical="center"/>
    </xf>
    <xf numFmtId="0" fontId="99" fillId="48" borderId="12" xfId="0" applyFont="1" applyFill="1" applyBorder="1" applyAlignment="1">
      <alignment horizontal="center" vertical="center"/>
    </xf>
    <xf numFmtId="0" fontId="128" fillId="0" borderId="12" xfId="0" applyFont="1" applyBorder="1" applyAlignment="1">
      <alignment vertical="center"/>
    </xf>
    <xf numFmtId="0" fontId="129" fillId="0" borderId="12" xfId="0" applyFont="1" applyBorder="1" applyAlignment="1">
      <alignment horizontal="center" vertical="center"/>
    </xf>
    <xf numFmtId="0" fontId="128" fillId="0" borderId="12" xfId="0" applyFont="1" applyBorder="1"/>
    <xf numFmtId="2" fontId="128" fillId="0" borderId="12" xfId="0" applyNumberFormat="1" applyFont="1" applyBorder="1" applyAlignment="1">
      <alignment horizontal="center"/>
    </xf>
    <xf numFmtId="0" fontId="128" fillId="0" borderId="12" xfId="0" applyFont="1" applyBorder="1" applyAlignment="1">
      <alignment horizontal="center"/>
    </xf>
    <xf numFmtId="2" fontId="128" fillId="0" borderId="12" xfId="0" applyNumberFormat="1" applyFont="1" applyBorder="1" applyAlignment="1">
      <alignment horizontal="center" vertical="center"/>
    </xf>
    <xf numFmtId="17" fontId="128" fillId="0" borderId="12" xfId="0" applyNumberFormat="1" applyFont="1" applyBorder="1" applyAlignment="1">
      <alignment horizontal="center" vertical="center"/>
    </xf>
    <xf numFmtId="0" fontId="128" fillId="0" borderId="12" xfId="0" applyFont="1" applyBorder="1" applyAlignment="1">
      <alignment horizontal="center" vertical="center"/>
    </xf>
    <xf numFmtId="0" fontId="130" fillId="0" borderId="12" xfId="0" applyFont="1" applyBorder="1" applyAlignment="1">
      <alignment horizontal="center" vertical="center"/>
    </xf>
    <xf numFmtId="17" fontId="128" fillId="0" borderId="12" xfId="0" applyNumberFormat="1" applyFont="1" applyBorder="1" applyAlignment="1">
      <alignment horizontal="center"/>
    </xf>
    <xf numFmtId="0" fontId="129" fillId="0" borderId="12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47" borderId="12" xfId="0" applyFill="1" applyBorder="1" applyAlignment="1">
      <alignment horizontal="left" vertical="center"/>
    </xf>
    <xf numFmtId="0" fontId="0" fillId="47" borderId="12" xfId="0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12" fillId="34" borderId="12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2" fillId="34" borderId="12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 wrapText="1"/>
    </xf>
    <xf numFmtId="0" fontId="106" fillId="0" borderId="0" xfId="0" applyFont="1"/>
    <xf numFmtId="0" fontId="105" fillId="27" borderId="0" xfId="0" applyFont="1" applyFill="1"/>
    <xf numFmtId="0" fontId="106" fillId="27" borderId="0" xfId="0" applyFont="1" applyFill="1"/>
    <xf numFmtId="10" fontId="125" fillId="0" borderId="12" xfId="219" applyNumberFormat="1" applyFont="1" applyBorder="1" applyAlignment="1">
      <alignment horizontal="center"/>
    </xf>
    <xf numFmtId="165" fontId="100" fillId="0" borderId="0" xfId="40" applyFont="1"/>
    <xf numFmtId="0" fontId="100" fillId="24" borderId="29" xfId="219" applyFont="1" applyFill="1" applyBorder="1" applyAlignment="1">
      <alignment vertical="center"/>
    </xf>
    <xf numFmtId="0" fontId="78" fillId="25" borderId="29" xfId="219" applyFont="1" applyFill="1" applyBorder="1"/>
    <xf numFmtId="0" fontId="100" fillId="24" borderId="11" xfId="219" applyFont="1" applyFill="1" applyBorder="1" applyAlignment="1">
      <alignment vertical="center"/>
    </xf>
    <xf numFmtId="0" fontId="126" fillId="47" borderId="11" xfId="0" applyFont="1" applyFill="1" applyBorder="1" applyAlignment="1">
      <alignment horizontal="center" vertical="center" wrapText="1"/>
    </xf>
    <xf numFmtId="0" fontId="127" fillId="47" borderId="20" xfId="0" applyFont="1" applyFill="1" applyBorder="1" applyAlignment="1">
      <alignment horizontal="center" vertical="center" wrapText="1"/>
    </xf>
    <xf numFmtId="0" fontId="127" fillId="47" borderId="11" xfId="0" applyFont="1" applyFill="1" applyBorder="1" applyAlignment="1">
      <alignment horizontal="center" vertical="center" wrapText="1"/>
    </xf>
    <xf numFmtId="0" fontId="126" fillId="0" borderId="0" xfId="0" applyFont="1"/>
    <xf numFmtId="0" fontId="126" fillId="0" borderId="0" xfId="0" applyFont="1" applyAlignment="1">
      <alignment horizontal="center"/>
    </xf>
    <xf numFmtId="0" fontId="127" fillId="0" borderId="20" xfId="0" applyFont="1" applyBorder="1" applyAlignment="1">
      <alignment horizontal="center" vertical="center" wrapText="1"/>
    </xf>
    <xf numFmtId="0" fontId="126" fillId="0" borderId="11" xfId="0" applyFont="1" applyBorder="1" applyAlignment="1">
      <alignment horizontal="center" vertical="center" wrapText="1"/>
    </xf>
    <xf numFmtId="4" fontId="0" fillId="0" borderId="0" xfId="0" applyNumberFormat="1"/>
    <xf numFmtId="0" fontId="135" fillId="49" borderId="12" xfId="0" applyFont="1" applyFill="1" applyBorder="1" applyAlignment="1">
      <alignment horizontal="center" vertical="center"/>
    </xf>
    <xf numFmtId="0" fontId="136" fillId="49" borderId="12" xfId="0" applyFont="1" applyFill="1" applyBorder="1" applyAlignment="1">
      <alignment horizontal="center" vertical="center" wrapText="1"/>
    </xf>
    <xf numFmtId="0" fontId="135" fillId="0" borderId="12" xfId="0" applyFont="1" applyBorder="1" applyAlignment="1">
      <alignment horizontal="center" vertical="center"/>
    </xf>
    <xf numFmtId="0" fontId="137" fillId="0" borderId="0" xfId="0" applyFont="1" applyAlignment="1">
      <alignment vertical="center"/>
    </xf>
    <xf numFmtId="0" fontId="137" fillId="0" borderId="0" xfId="0" applyFont="1" applyAlignment="1">
      <alignment horizontal="center" vertical="center" wrapText="1"/>
    </xf>
    <xf numFmtId="166" fontId="138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0" fillId="0" borderId="20" xfId="0" applyFont="1" applyBorder="1" applyAlignment="1">
      <alignment horizontal="left"/>
    </xf>
    <xf numFmtId="0" fontId="14" fillId="0" borderId="61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2" fillId="27" borderId="23" xfId="0" applyFont="1" applyFill="1" applyBorder="1" applyAlignment="1">
      <alignment horizontal="center" vertical="center"/>
    </xf>
    <xf numFmtId="0" fontId="12" fillId="27" borderId="24" xfId="0" applyFont="1" applyFill="1" applyBorder="1" applyAlignment="1">
      <alignment horizontal="center" vertical="center"/>
    </xf>
    <xf numFmtId="0" fontId="14" fillId="27" borderId="61" xfId="0" applyFont="1" applyFill="1" applyBorder="1" applyAlignment="1">
      <alignment horizontal="center"/>
    </xf>
    <xf numFmtId="0" fontId="14" fillId="27" borderId="62" xfId="0" applyFont="1" applyFill="1" applyBorder="1" applyAlignment="1">
      <alignment horizontal="center"/>
    </xf>
    <xf numFmtId="0" fontId="14" fillId="27" borderId="41" xfId="0" applyFont="1" applyFill="1" applyBorder="1" applyAlignment="1">
      <alignment horizontal="center"/>
    </xf>
    <xf numFmtId="0" fontId="14" fillId="27" borderId="12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27" borderId="23" xfId="0" applyFont="1" applyFill="1" applyBorder="1" applyAlignment="1">
      <alignment horizontal="left" vertical="center"/>
    </xf>
    <xf numFmtId="0" fontId="12" fillId="27" borderId="24" xfId="0" applyFont="1" applyFill="1" applyBorder="1" applyAlignment="1">
      <alignment horizontal="left" vertical="center"/>
    </xf>
    <xf numFmtId="0" fontId="12" fillId="27" borderId="12" xfId="0" applyFont="1" applyFill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00" fillId="0" borderId="0" xfId="219" applyFont="1" applyAlignment="1">
      <alignment horizontal="center" vertical="center"/>
    </xf>
    <xf numFmtId="0" fontId="78" fillId="0" borderId="0" xfId="219" applyFont="1" applyAlignment="1">
      <alignment horizontal="center" vertical="center"/>
    </xf>
    <xf numFmtId="0" fontId="12" fillId="24" borderId="0" xfId="0" applyFont="1" applyFill="1" applyAlignment="1">
      <alignment horizontal="center"/>
    </xf>
    <xf numFmtId="0" fontId="105" fillId="33" borderId="17" xfId="219" applyFont="1" applyFill="1" applyBorder="1" applyAlignment="1">
      <alignment horizontal="center" vertical="center"/>
    </xf>
    <xf numFmtId="0" fontId="105" fillId="33" borderId="48" xfId="219" applyFont="1" applyFill="1" applyBorder="1" applyAlignment="1">
      <alignment horizontal="center" vertical="center"/>
    </xf>
    <xf numFmtId="0" fontId="105" fillId="33" borderId="107" xfId="219" applyFont="1" applyFill="1" applyBorder="1" applyAlignment="1">
      <alignment horizontal="center" vertical="center"/>
    </xf>
    <xf numFmtId="0" fontId="105" fillId="33" borderId="14" xfId="219" applyFont="1" applyFill="1" applyBorder="1" applyAlignment="1">
      <alignment horizontal="center" vertical="center"/>
    </xf>
    <xf numFmtId="0" fontId="105" fillId="33" borderId="13" xfId="219" applyFont="1" applyFill="1" applyBorder="1" applyAlignment="1">
      <alignment horizontal="center" vertical="center"/>
    </xf>
    <xf numFmtId="0" fontId="105" fillId="33" borderId="111" xfId="219" applyFont="1" applyFill="1" applyBorder="1" applyAlignment="1">
      <alignment horizontal="center" vertical="center"/>
    </xf>
    <xf numFmtId="0" fontId="100" fillId="0" borderId="0" xfId="219" applyFont="1" applyAlignment="1">
      <alignment horizontal="center"/>
    </xf>
    <xf numFmtId="0" fontId="131" fillId="0" borderId="33" xfId="0" applyFont="1" applyBorder="1" applyAlignment="1">
      <alignment horizontal="left" vertical="center" wrapText="1"/>
    </xf>
    <xf numFmtId="0" fontId="131" fillId="0" borderId="0" xfId="0" applyFont="1" applyAlignment="1">
      <alignment horizontal="left" vertical="center" wrapText="1"/>
    </xf>
    <xf numFmtId="0" fontId="98" fillId="48" borderId="12" xfId="0" applyFont="1" applyFill="1" applyBorder="1" applyAlignment="1">
      <alignment horizontal="center" vertical="center" wrapText="1"/>
    </xf>
    <xf numFmtId="0" fontId="126" fillId="47" borderId="12" xfId="0" applyFont="1" applyFill="1" applyBorder="1" applyAlignment="1">
      <alignment horizontal="center" vertical="center" wrapText="1"/>
    </xf>
    <xf numFmtId="0" fontId="126" fillId="47" borderId="23" xfId="0" applyFont="1" applyFill="1" applyBorder="1" applyAlignment="1">
      <alignment horizontal="center" vertical="center" wrapText="1"/>
    </xf>
    <xf numFmtId="0" fontId="126" fillId="47" borderId="24" xfId="0" applyFont="1" applyFill="1" applyBorder="1" applyAlignment="1">
      <alignment horizontal="center" vertical="center" wrapText="1"/>
    </xf>
    <xf numFmtId="0" fontId="132" fillId="48" borderId="61" xfId="0" applyFont="1" applyFill="1" applyBorder="1" applyAlignment="1">
      <alignment horizontal="center" vertical="center"/>
    </xf>
    <xf numFmtId="0" fontId="132" fillId="48" borderId="62" xfId="0" applyFont="1" applyFill="1" applyBorder="1" applyAlignment="1">
      <alignment horizontal="center" vertical="center"/>
    </xf>
    <xf numFmtId="0" fontId="132" fillId="48" borderId="41" xfId="0" applyFont="1" applyFill="1" applyBorder="1" applyAlignment="1">
      <alignment horizontal="center" vertical="center"/>
    </xf>
    <xf numFmtId="0" fontId="134" fillId="0" borderId="0" xfId="0" applyFont="1" applyAlignment="1">
      <alignment horizontal="center" vertical="center"/>
    </xf>
    <xf numFmtId="0" fontId="134" fillId="0" borderId="0" xfId="0" applyFont="1" applyAlignment="1">
      <alignment horizontal="center" vertical="center" wrapText="1"/>
    </xf>
    <xf numFmtId="0" fontId="75" fillId="30" borderId="69" xfId="202" applyFont="1" applyFill="1" applyBorder="1" applyAlignment="1">
      <alignment horizontal="center"/>
    </xf>
    <xf numFmtId="0" fontId="75" fillId="30" borderId="70" xfId="202" applyFont="1" applyFill="1" applyBorder="1" applyAlignment="1">
      <alignment horizontal="center"/>
    </xf>
    <xf numFmtId="0" fontId="81" fillId="0" borderId="0" xfId="0" applyFont="1" applyAlignment="1">
      <alignment horizontal="center"/>
    </xf>
    <xf numFmtId="0" fontId="11" fillId="0" borderId="61" xfId="169" applyBorder="1" applyAlignment="1">
      <alignment horizontal="center"/>
    </xf>
    <xf numFmtId="0" fontId="11" fillId="0" borderId="41" xfId="169" applyBorder="1" applyAlignment="1">
      <alignment horizontal="center"/>
    </xf>
    <xf numFmtId="0" fontId="14" fillId="24" borderId="55" xfId="169" applyFont="1" applyFill="1" applyBorder="1" applyAlignment="1">
      <alignment horizontal="center" vertical="center" wrapText="1"/>
    </xf>
    <xf numFmtId="0" fontId="14" fillId="24" borderId="39" xfId="169" applyFont="1" applyFill="1" applyBorder="1" applyAlignment="1">
      <alignment horizontal="center" vertical="center" wrapText="1"/>
    </xf>
    <xf numFmtId="0" fontId="11" fillId="24" borderId="55" xfId="169" applyFill="1" applyBorder="1" applyAlignment="1">
      <alignment horizontal="center" vertical="center" wrapText="1"/>
    </xf>
    <xf numFmtId="0" fontId="11" fillId="24" borderId="39" xfId="169" applyFill="1" applyBorder="1" applyAlignment="1">
      <alignment horizontal="center" vertical="center" wrapText="1"/>
    </xf>
    <xf numFmtId="0" fontId="11" fillId="24" borderId="57" xfId="169" applyFill="1" applyBorder="1" applyAlignment="1">
      <alignment horizontal="center" vertical="center" wrapText="1"/>
    </xf>
    <xf numFmtId="0" fontId="11" fillId="24" borderId="68" xfId="169" applyFill="1" applyBorder="1" applyAlignment="1">
      <alignment horizontal="center" vertical="center" wrapText="1"/>
    </xf>
    <xf numFmtId="0" fontId="12" fillId="24" borderId="0" xfId="169" applyFont="1" applyFill="1" applyAlignment="1">
      <alignment horizontal="center" vertical="center" wrapText="1"/>
    </xf>
    <xf numFmtId="0" fontId="14" fillId="24" borderId="0" xfId="169" applyFont="1" applyFill="1" applyAlignment="1">
      <alignment horizontal="center"/>
    </xf>
    <xf numFmtId="0" fontId="14" fillId="24" borderId="39" xfId="169" applyFont="1" applyFill="1" applyBorder="1" applyAlignment="1">
      <alignment horizontal="center"/>
    </xf>
    <xf numFmtId="0" fontId="11" fillId="24" borderId="0" xfId="169" applyFill="1" applyAlignment="1">
      <alignment horizontal="center" vertical="center" wrapText="1"/>
    </xf>
    <xf numFmtId="0" fontId="41" fillId="30" borderId="62" xfId="169" applyFont="1" applyFill="1" applyBorder="1" applyAlignment="1">
      <alignment horizontal="center"/>
    </xf>
    <xf numFmtId="0" fontId="41" fillId="30" borderId="41" xfId="169" applyFont="1" applyFill="1" applyBorder="1" applyAlignment="1">
      <alignment horizontal="center"/>
    </xf>
    <xf numFmtId="0" fontId="99" fillId="39" borderId="62" xfId="169" applyFont="1" applyFill="1" applyBorder="1" applyAlignment="1">
      <alignment horizontal="center"/>
    </xf>
    <xf numFmtId="0" fontId="99" fillId="39" borderId="61" xfId="169" applyFont="1" applyFill="1" applyBorder="1" applyAlignment="1">
      <alignment horizontal="center"/>
    </xf>
    <xf numFmtId="0" fontId="99" fillId="39" borderId="62" xfId="169" applyFont="1" applyFill="1" applyBorder="1"/>
    <xf numFmtId="0" fontId="12" fillId="24" borderId="63" xfId="0" applyFont="1" applyFill="1" applyBorder="1" applyAlignment="1">
      <alignment horizontal="center" vertical="center"/>
    </xf>
    <xf numFmtId="0" fontId="12" fillId="24" borderId="56" xfId="0" applyFont="1" applyFill="1" applyBorder="1" applyAlignment="1">
      <alignment horizontal="center" vertical="center"/>
    </xf>
    <xf numFmtId="0" fontId="12" fillId="24" borderId="35" xfId="0" applyFont="1" applyFill="1" applyBorder="1" applyAlignment="1">
      <alignment horizontal="center" vertical="center"/>
    </xf>
    <xf numFmtId="0" fontId="12" fillId="24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41" fillId="0" borderId="61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7" fillId="0" borderId="21" xfId="226" applyFont="1" applyBorder="1" applyAlignment="1">
      <alignment horizontal="center" vertical="center"/>
    </xf>
    <xf numFmtId="0" fontId="81" fillId="36" borderId="0" xfId="0" applyFont="1" applyFill="1" applyAlignment="1">
      <alignment horizontal="center"/>
    </xf>
    <xf numFmtId="2" fontId="129" fillId="0" borderId="12" xfId="0" applyNumberFormat="1" applyFont="1" applyBorder="1" applyAlignment="1">
      <alignment horizontal="center" vertical="center"/>
    </xf>
    <xf numFmtId="17" fontId="128" fillId="0" borderId="12" xfId="0" applyNumberFormat="1" applyFont="1" applyBorder="1"/>
    <xf numFmtId="49" fontId="128" fillId="0" borderId="12" xfId="0" applyNumberFormat="1" applyFont="1" applyBorder="1" applyAlignment="1">
      <alignment vertical="center"/>
    </xf>
    <xf numFmtId="17" fontId="129" fillId="0" borderId="12" xfId="0" applyNumberFormat="1" applyFont="1" applyBorder="1" applyAlignment="1">
      <alignment horizontal="center" vertical="center"/>
    </xf>
    <xf numFmtId="0" fontId="139" fillId="0" borderId="61" xfId="0" applyFont="1" applyBorder="1" applyAlignment="1">
      <alignment horizontal="left" vertical="center" wrapText="1"/>
    </xf>
    <xf numFmtId="0" fontId="139" fillId="0" borderId="62" xfId="0" applyFont="1" applyBorder="1" applyAlignment="1">
      <alignment horizontal="left" vertical="center" wrapText="1"/>
    </xf>
    <xf numFmtId="0" fontId="139" fillId="0" borderId="41" xfId="0" applyFont="1" applyBorder="1" applyAlignment="1">
      <alignment horizontal="left" vertical="center" wrapText="1"/>
    </xf>
    <xf numFmtId="0" fontId="127" fillId="0" borderId="20" xfId="0" applyFont="1" applyBorder="1" applyAlignment="1">
      <alignment horizontal="left" vertical="center" wrapText="1"/>
    </xf>
    <xf numFmtId="0" fontId="126" fillId="0" borderId="1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99" fillId="48" borderId="12" xfId="0" applyNumberFormat="1" applyFont="1" applyFill="1" applyBorder="1" applyAlignment="1">
      <alignment horizontal="center" vertical="center"/>
    </xf>
    <xf numFmtId="4" fontId="99" fillId="48" borderId="12" xfId="0" applyNumberFormat="1" applyFont="1" applyFill="1" applyBorder="1" applyAlignment="1">
      <alignment horizontal="center" vertical="center"/>
    </xf>
    <xf numFmtId="166" fontId="14" fillId="0" borderId="12" xfId="0" applyNumberFormat="1" applyFont="1" applyBorder="1" applyAlignment="1">
      <alignment horizontal="center"/>
    </xf>
    <xf numFmtId="0" fontId="14" fillId="0" borderId="24" xfId="0" applyFont="1" applyBorder="1" applyAlignment="1">
      <alignment horizontal="center" vertical="center" wrapText="1"/>
    </xf>
  </cellXfs>
  <cellStyles count="239">
    <cellStyle name="20% - Énfasis1" xfId="1" builtinId="30" customBuiltin="1"/>
    <cellStyle name="20% - Énfasis1 2" xfId="71" xr:uid="{00000000-0005-0000-0000-000001000000}"/>
    <cellStyle name="20% - Énfasis1 3" xfId="72" xr:uid="{00000000-0005-0000-0000-000002000000}"/>
    <cellStyle name="20% - Énfasis1 4" xfId="73" xr:uid="{00000000-0005-0000-0000-000003000000}"/>
    <cellStyle name="20% - Énfasis2" xfId="2" builtinId="34" customBuiltin="1"/>
    <cellStyle name="20% - Énfasis2 2" xfId="74" xr:uid="{00000000-0005-0000-0000-000005000000}"/>
    <cellStyle name="20% - Énfasis2 3" xfId="75" xr:uid="{00000000-0005-0000-0000-000006000000}"/>
    <cellStyle name="20% - Énfasis2 4" xfId="76" xr:uid="{00000000-0005-0000-0000-000007000000}"/>
    <cellStyle name="20% - Énfasis3" xfId="3" builtinId="38" customBuiltin="1"/>
    <cellStyle name="20% - Énfasis3 2" xfId="77" xr:uid="{00000000-0005-0000-0000-000009000000}"/>
    <cellStyle name="20% - Énfasis3 3" xfId="78" xr:uid="{00000000-0005-0000-0000-00000A000000}"/>
    <cellStyle name="20% - Énfasis3 4" xfId="79" xr:uid="{00000000-0005-0000-0000-00000B000000}"/>
    <cellStyle name="20% - Énfasis4" xfId="4" builtinId="42" customBuiltin="1"/>
    <cellStyle name="20% - Énfasis4 2" xfId="80" xr:uid="{00000000-0005-0000-0000-00000D000000}"/>
    <cellStyle name="20% - Énfasis4 3" xfId="81" xr:uid="{00000000-0005-0000-0000-00000E000000}"/>
    <cellStyle name="20% - Énfasis4 4" xfId="82" xr:uid="{00000000-0005-0000-0000-00000F000000}"/>
    <cellStyle name="20% - Énfasis5" xfId="5" builtinId="46" customBuiltin="1"/>
    <cellStyle name="20% - Énfasis5 2" xfId="83" xr:uid="{00000000-0005-0000-0000-000011000000}"/>
    <cellStyle name="20% - Énfasis5 3" xfId="84" xr:uid="{00000000-0005-0000-0000-000012000000}"/>
    <cellStyle name="20% - Énfasis5 4" xfId="85" xr:uid="{00000000-0005-0000-0000-000013000000}"/>
    <cellStyle name="20% - Énfasis6" xfId="6" builtinId="50" customBuiltin="1"/>
    <cellStyle name="20% - Énfasis6 2" xfId="86" xr:uid="{00000000-0005-0000-0000-000015000000}"/>
    <cellStyle name="20% - Énfasis6 3" xfId="87" xr:uid="{00000000-0005-0000-0000-000016000000}"/>
    <cellStyle name="20% - Énfasis6 4" xfId="88" xr:uid="{00000000-0005-0000-0000-000017000000}"/>
    <cellStyle name="40% - Énfasis1" xfId="7" builtinId="31" customBuiltin="1"/>
    <cellStyle name="40% - Énfasis1 2" xfId="89" xr:uid="{00000000-0005-0000-0000-000019000000}"/>
    <cellStyle name="40% - Énfasis1 3" xfId="90" xr:uid="{00000000-0005-0000-0000-00001A000000}"/>
    <cellStyle name="40% - Énfasis1 4" xfId="91" xr:uid="{00000000-0005-0000-0000-00001B000000}"/>
    <cellStyle name="40% - Énfasis2" xfId="8" builtinId="35" customBuiltin="1"/>
    <cellStyle name="40% - Énfasis2 2" xfId="92" xr:uid="{00000000-0005-0000-0000-00001D000000}"/>
    <cellStyle name="40% - Énfasis2 3" xfId="93" xr:uid="{00000000-0005-0000-0000-00001E000000}"/>
    <cellStyle name="40% - Énfasis2 4" xfId="94" xr:uid="{00000000-0005-0000-0000-00001F000000}"/>
    <cellStyle name="40% - Énfasis3" xfId="9" builtinId="39" customBuiltin="1"/>
    <cellStyle name="40% - Énfasis3 2" xfId="95" xr:uid="{00000000-0005-0000-0000-000021000000}"/>
    <cellStyle name="40% - Énfasis3 3" xfId="96" xr:uid="{00000000-0005-0000-0000-000022000000}"/>
    <cellStyle name="40% - Énfasis3 4" xfId="97" xr:uid="{00000000-0005-0000-0000-000023000000}"/>
    <cellStyle name="40% - Énfasis4" xfId="10" builtinId="43" customBuiltin="1"/>
    <cellStyle name="40% - Énfasis4 2" xfId="98" xr:uid="{00000000-0005-0000-0000-000025000000}"/>
    <cellStyle name="40% - Énfasis4 3" xfId="99" xr:uid="{00000000-0005-0000-0000-000026000000}"/>
    <cellStyle name="40% - Énfasis4 4" xfId="100" xr:uid="{00000000-0005-0000-0000-000027000000}"/>
    <cellStyle name="40% - Énfasis5" xfId="11" builtinId="47" customBuiltin="1"/>
    <cellStyle name="40% - Énfasis5 2" xfId="101" xr:uid="{00000000-0005-0000-0000-000029000000}"/>
    <cellStyle name="40% - Énfasis5 3" xfId="102" xr:uid="{00000000-0005-0000-0000-00002A000000}"/>
    <cellStyle name="40% - Énfasis5 4" xfId="103" xr:uid="{00000000-0005-0000-0000-00002B000000}"/>
    <cellStyle name="40% - Énfasis6" xfId="12" builtinId="51" customBuiltin="1"/>
    <cellStyle name="40% - Énfasis6 2" xfId="104" xr:uid="{00000000-0005-0000-0000-00002D000000}"/>
    <cellStyle name="40% - Énfasis6 3" xfId="105" xr:uid="{00000000-0005-0000-0000-00002E000000}"/>
    <cellStyle name="40% - Énfasis6 4" xfId="106" xr:uid="{00000000-0005-0000-0000-00002F000000}"/>
    <cellStyle name="60% - Énfasis1" xfId="13" builtinId="32" customBuiltin="1"/>
    <cellStyle name="60% - Énfasis1 2" xfId="107" xr:uid="{00000000-0005-0000-0000-000031000000}"/>
    <cellStyle name="60% - Énfasis1 3" xfId="108" xr:uid="{00000000-0005-0000-0000-000032000000}"/>
    <cellStyle name="60% - Énfasis1 4" xfId="109" xr:uid="{00000000-0005-0000-0000-000033000000}"/>
    <cellStyle name="60% - Énfasis2" xfId="14" builtinId="36" customBuiltin="1"/>
    <cellStyle name="60% - Énfasis2 2" xfId="110" xr:uid="{00000000-0005-0000-0000-000035000000}"/>
    <cellStyle name="60% - Énfasis2 3" xfId="111" xr:uid="{00000000-0005-0000-0000-000036000000}"/>
    <cellStyle name="60% - Énfasis2 4" xfId="112" xr:uid="{00000000-0005-0000-0000-000037000000}"/>
    <cellStyle name="60% - Énfasis3" xfId="15" builtinId="40" customBuiltin="1"/>
    <cellStyle name="60% - Énfasis3 2" xfId="113" xr:uid="{00000000-0005-0000-0000-000039000000}"/>
    <cellStyle name="60% - Énfasis3 3" xfId="114" xr:uid="{00000000-0005-0000-0000-00003A000000}"/>
    <cellStyle name="60% - Énfasis3 4" xfId="115" xr:uid="{00000000-0005-0000-0000-00003B000000}"/>
    <cellStyle name="60% - Énfasis4" xfId="16" builtinId="44" customBuiltin="1"/>
    <cellStyle name="60% - Énfasis4 2" xfId="116" xr:uid="{00000000-0005-0000-0000-00003D000000}"/>
    <cellStyle name="60% - Énfasis4 3" xfId="117" xr:uid="{00000000-0005-0000-0000-00003E000000}"/>
    <cellStyle name="60% - Énfasis4 4" xfId="118" xr:uid="{00000000-0005-0000-0000-00003F000000}"/>
    <cellStyle name="60% - Énfasis5" xfId="17" builtinId="48" customBuiltin="1"/>
    <cellStyle name="60% - Énfasis5 2" xfId="119" xr:uid="{00000000-0005-0000-0000-000041000000}"/>
    <cellStyle name="60% - Énfasis5 3" xfId="120" xr:uid="{00000000-0005-0000-0000-000042000000}"/>
    <cellStyle name="60% - Énfasis5 4" xfId="121" xr:uid="{00000000-0005-0000-0000-000043000000}"/>
    <cellStyle name="60% - Énfasis6" xfId="18" builtinId="52" customBuiltin="1"/>
    <cellStyle name="60% - Énfasis6 2" xfId="122" xr:uid="{00000000-0005-0000-0000-000045000000}"/>
    <cellStyle name="60% - Énfasis6 3" xfId="123" xr:uid="{00000000-0005-0000-0000-000046000000}"/>
    <cellStyle name="60% - Énfasis6 4" xfId="124" xr:uid="{00000000-0005-0000-0000-000047000000}"/>
    <cellStyle name="Buena 2" xfId="125" xr:uid="{00000000-0005-0000-0000-000048000000}"/>
    <cellStyle name="Buena 3" xfId="126" xr:uid="{00000000-0005-0000-0000-000049000000}"/>
    <cellStyle name="Buena 4" xfId="127" xr:uid="{00000000-0005-0000-0000-00004A000000}"/>
    <cellStyle name="Bueno" xfId="19" builtinId="26" customBuiltin="1"/>
    <cellStyle name="Cálculo" xfId="20" builtinId="22" customBuiltin="1"/>
    <cellStyle name="Cálculo 2" xfId="128" xr:uid="{00000000-0005-0000-0000-00004D000000}"/>
    <cellStyle name="Cálculo 3" xfId="129" xr:uid="{00000000-0005-0000-0000-00004E000000}"/>
    <cellStyle name="Cálculo 4" xfId="130" xr:uid="{00000000-0005-0000-0000-00004F000000}"/>
    <cellStyle name="Celda de comprobación" xfId="21" builtinId="23" customBuiltin="1"/>
    <cellStyle name="Celda de comprobación 2" xfId="131" xr:uid="{00000000-0005-0000-0000-000051000000}"/>
    <cellStyle name="Celda de comprobación 3" xfId="132" xr:uid="{00000000-0005-0000-0000-000052000000}"/>
    <cellStyle name="Celda de comprobación 4" xfId="133" xr:uid="{00000000-0005-0000-0000-000053000000}"/>
    <cellStyle name="Celda vinculada" xfId="22" builtinId="24" customBuiltin="1"/>
    <cellStyle name="Celda vinculada 2" xfId="134" xr:uid="{00000000-0005-0000-0000-000055000000}"/>
    <cellStyle name="Celda vinculada 3" xfId="135" xr:uid="{00000000-0005-0000-0000-000056000000}"/>
    <cellStyle name="Celda vinculada 4" xfId="136" xr:uid="{00000000-0005-0000-0000-000057000000}"/>
    <cellStyle name="Encabezado 1" xfId="64" builtinId="16" customBuiltin="1"/>
    <cellStyle name="Encabezado 4" xfId="23" builtinId="19" customBuiltin="1"/>
    <cellStyle name="Encabezado 4 2" xfId="137" xr:uid="{00000000-0005-0000-0000-00005A000000}"/>
    <cellStyle name="Encabezado 4 3" xfId="138" xr:uid="{00000000-0005-0000-0000-00005B000000}"/>
    <cellStyle name="Encabezado 4 4" xfId="139" xr:uid="{00000000-0005-0000-0000-00005C000000}"/>
    <cellStyle name="Énfasis1" xfId="24" builtinId="29" customBuiltin="1"/>
    <cellStyle name="Énfasis1 2" xfId="140" xr:uid="{00000000-0005-0000-0000-00005E000000}"/>
    <cellStyle name="Énfasis1 3" xfId="141" xr:uid="{00000000-0005-0000-0000-00005F000000}"/>
    <cellStyle name="Énfasis1 4" xfId="142" xr:uid="{00000000-0005-0000-0000-000060000000}"/>
    <cellStyle name="Énfasis2" xfId="25" builtinId="33" customBuiltin="1"/>
    <cellStyle name="Énfasis2 2" xfId="143" xr:uid="{00000000-0005-0000-0000-000062000000}"/>
    <cellStyle name="Énfasis2 3" xfId="144" xr:uid="{00000000-0005-0000-0000-000063000000}"/>
    <cellStyle name="Énfasis2 4" xfId="145" xr:uid="{00000000-0005-0000-0000-000064000000}"/>
    <cellStyle name="Énfasis3" xfId="26" builtinId="37" customBuiltin="1"/>
    <cellStyle name="Énfasis3 2" xfId="146" xr:uid="{00000000-0005-0000-0000-000066000000}"/>
    <cellStyle name="Énfasis3 3" xfId="147" xr:uid="{00000000-0005-0000-0000-000067000000}"/>
    <cellStyle name="Énfasis3 4" xfId="148" xr:uid="{00000000-0005-0000-0000-000068000000}"/>
    <cellStyle name="Énfasis4" xfId="27" builtinId="41" customBuiltin="1"/>
    <cellStyle name="Énfasis4 2" xfId="149" xr:uid="{00000000-0005-0000-0000-00006A000000}"/>
    <cellStyle name="Énfasis4 3" xfId="150" xr:uid="{00000000-0005-0000-0000-00006B000000}"/>
    <cellStyle name="Énfasis4 4" xfId="151" xr:uid="{00000000-0005-0000-0000-00006C000000}"/>
    <cellStyle name="Énfasis5" xfId="28" builtinId="45" customBuiltin="1"/>
    <cellStyle name="Énfasis5 2" xfId="152" xr:uid="{00000000-0005-0000-0000-00006E000000}"/>
    <cellStyle name="Énfasis5 3" xfId="153" xr:uid="{00000000-0005-0000-0000-00006F000000}"/>
    <cellStyle name="Énfasis5 4" xfId="154" xr:uid="{00000000-0005-0000-0000-000070000000}"/>
    <cellStyle name="Énfasis6" xfId="29" builtinId="49" customBuiltin="1"/>
    <cellStyle name="Énfasis6 2" xfId="155" xr:uid="{00000000-0005-0000-0000-000072000000}"/>
    <cellStyle name="Énfasis6 3" xfId="156" xr:uid="{00000000-0005-0000-0000-000073000000}"/>
    <cellStyle name="Énfasis6 4" xfId="157" xr:uid="{00000000-0005-0000-0000-000074000000}"/>
    <cellStyle name="Entrada" xfId="30" builtinId="20" customBuiltin="1"/>
    <cellStyle name="Entrada 2" xfId="158" xr:uid="{00000000-0005-0000-0000-000076000000}"/>
    <cellStyle name="Entrada 3" xfId="159" xr:uid="{00000000-0005-0000-0000-000077000000}"/>
    <cellStyle name="Entrada 4" xfId="160" xr:uid="{00000000-0005-0000-0000-000078000000}"/>
    <cellStyle name="Euro" xfId="31" xr:uid="{00000000-0005-0000-0000-000079000000}"/>
    <cellStyle name="F2" xfId="32" xr:uid="{00000000-0005-0000-0000-00007A000000}"/>
    <cellStyle name="F3" xfId="33" xr:uid="{00000000-0005-0000-0000-00007B000000}"/>
    <cellStyle name="F4" xfId="34" xr:uid="{00000000-0005-0000-0000-00007C000000}"/>
    <cellStyle name="F5" xfId="35" xr:uid="{00000000-0005-0000-0000-00007D000000}"/>
    <cellStyle name="F6" xfId="36" xr:uid="{00000000-0005-0000-0000-00007E000000}"/>
    <cellStyle name="F7" xfId="37" xr:uid="{00000000-0005-0000-0000-00007F000000}"/>
    <cellStyle name="F8" xfId="38" xr:uid="{00000000-0005-0000-0000-000080000000}"/>
    <cellStyle name="Incorrecto" xfId="39" builtinId="27" customBuiltin="1"/>
    <cellStyle name="Incorrecto 2" xfId="161" xr:uid="{00000000-0005-0000-0000-000082000000}"/>
    <cellStyle name="Incorrecto 3" xfId="162" xr:uid="{00000000-0005-0000-0000-000083000000}"/>
    <cellStyle name="Incorrecto 4" xfId="163" xr:uid="{00000000-0005-0000-0000-000084000000}"/>
    <cellStyle name="Millares" xfId="40" builtinId="3"/>
    <cellStyle name="Millares 2" xfId="41" xr:uid="{00000000-0005-0000-0000-000086000000}"/>
    <cellStyle name="Millares 2 2" xfId="42" xr:uid="{00000000-0005-0000-0000-000087000000}"/>
    <cellStyle name="Millares 2 3" xfId="164" xr:uid="{00000000-0005-0000-0000-000088000000}"/>
    <cellStyle name="Millares 2 3 2" xfId="217" xr:uid="{00000000-0005-0000-0000-000089000000}"/>
    <cellStyle name="Millares 2 4" xfId="165" xr:uid="{00000000-0005-0000-0000-00008A000000}"/>
    <cellStyle name="Millares 2 5" xfId="215" xr:uid="{00000000-0005-0000-0000-00008B000000}"/>
    <cellStyle name="Millares 2 6" xfId="224" xr:uid="{00000000-0005-0000-0000-00008C000000}"/>
    <cellStyle name="Millares 2 6 2" xfId="229" xr:uid="{00000000-0005-0000-0000-00008D000000}"/>
    <cellStyle name="Millares 3" xfId="43" xr:uid="{00000000-0005-0000-0000-00008E000000}"/>
    <cellStyle name="Millares 3 2" xfId="218" xr:uid="{00000000-0005-0000-0000-00008F000000}"/>
    <cellStyle name="Millares 4" xfId="70" xr:uid="{00000000-0005-0000-0000-000090000000}"/>
    <cellStyle name="Millares 5" xfId="204" xr:uid="{00000000-0005-0000-0000-000091000000}"/>
    <cellStyle name="Millares 5 2" xfId="210" xr:uid="{00000000-0005-0000-0000-000092000000}"/>
    <cellStyle name="Millares 6" xfId="212" xr:uid="{00000000-0005-0000-0000-000093000000}"/>
    <cellStyle name="Millares 7" xfId="220" xr:uid="{00000000-0005-0000-0000-000094000000}"/>
    <cellStyle name="Millares 8" xfId="232" xr:uid="{C1DBA731-FDBF-486B-83BD-27D3875CAF23}"/>
    <cellStyle name="Millares 9" xfId="236" xr:uid="{256E31C4-387F-4FC2-BD52-0F8943096FD9}"/>
    <cellStyle name="Neutral" xfId="44" builtinId="28" customBuiltin="1"/>
    <cellStyle name="Neutral 2" xfId="166" xr:uid="{00000000-0005-0000-0000-000096000000}"/>
    <cellStyle name="Neutral 3" xfId="167" xr:uid="{00000000-0005-0000-0000-000097000000}"/>
    <cellStyle name="Neutral 4" xfId="168" xr:uid="{00000000-0005-0000-0000-000098000000}"/>
    <cellStyle name="Normal" xfId="0" builtinId="0"/>
    <cellStyle name="Normal 10" xfId="213" xr:uid="{00000000-0005-0000-0000-00009A000000}"/>
    <cellStyle name="Normal 10 2" xfId="238" xr:uid="{6FD8BE4F-DCEB-4DBD-A28E-B0F202261A17}"/>
    <cellStyle name="Normal 11" xfId="221" xr:uid="{00000000-0005-0000-0000-00009B000000}"/>
    <cellStyle name="Normal 11 2" xfId="226" xr:uid="{00000000-0005-0000-0000-00009C000000}"/>
    <cellStyle name="Normal 12" xfId="230" xr:uid="{D6F120A8-FD32-4868-8509-AE6216473F02}"/>
    <cellStyle name="Normal 13" xfId="234" xr:uid="{5DCC5CE6-654D-4A8C-9519-DC7E4380A03E}"/>
    <cellStyle name="Normal 2" xfId="45" xr:uid="{00000000-0005-0000-0000-00009D000000}"/>
    <cellStyle name="Normal 2 2" xfId="46" xr:uid="{00000000-0005-0000-0000-00009E000000}"/>
    <cellStyle name="Normal 2 3" xfId="169" xr:uid="{00000000-0005-0000-0000-00009F000000}"/>
    <cellStyle name="Normal 2 3 2" xfId="170" xr:uid="{00000000-0005-0000-0000-0000A0000000}"/>
    <cellStyle name="Normal 2 4" xfId="171" xr:uid="{00000000-0005-0000-0000-0000A1000000}"/>
    <cellStyle name="Normal 2 5" xfId="205" xr:uid="{00000000-0005-0000-0000-0000A2000000}"/>
    <cellStyle name="Normal 2 6" xfId="206" xr:uid="{00000000-0005-0000-0000-0000A3000000}"/>
    <cellStyle name="Normal 2 7" xfId="207" xr:uid="{00000000-0005-0000-0000-0000A4000000}"/>
    <cellStyle name="Normal 2 8" xfId="214" xr:uid="{00000000-0005-0000-0000-0000A5000000}"/>
    <cellStyle name="Normal 3" xfId="47" xr:uid="{00000000-0005-0000-0000-0000A6000000}"/>
    <cellStyle name="Normal 3 2" xfId="48" xr:uid="{00000000-0005-0000-0000-0000A7000000}"/>
    <cellStyle name="Normal 3 2 2" xfId="219" xr:uid="{00000000-0005-0000-0000-0000A8000000}"/>
    <cellStyle name="Normal 3 3" xfId="172" xr:uid="{00000000-0005-0000-0000-0000A9000000}"/>
    <cellStyle name="Normal 4" xfId="49" xr:uid="{00000000-0005-0000-0000-0000AA000000}"/>
    <cellStyle name="Normal 43" xfId="225" xr:uid="{00000000-0005-0000-0000-0000AB000000}"/>
    <cellStyle name="Normal 5" xfId="68" xr:uid="{00000000-0005-0000-0000-0000AC000000}"/>
    <cellStyle name="Normal 5 2" xfId="173" xr:uid="{00000000-0005-0000-0000-0000AD000000}"/>
    <cellStyle name="Normal 5 3" xfId="208" xr:uid="{00000000-0005-0000-0000-0000AE000000}"/>
    <cellStyle name="Normal 6" xfId="174" xr:uid="{00000000-0005-0000-0000-0000AF000000}"/>
    <cellStyle name="Normal 7" xfId="203" xr:uid="{00000000-0005-0000-0000-0000B0000000}"/>
    <cellStyle name="Normal 7 2" xfId="209" xr:uid="{00000000-0005-0000-0000-0000B1000000}"/>
    <cellStyle name="Normal 8" xfId="202" xr:uid="{00000000-0005-0000-0000-0000B2000000}"/>
    <cellStyle name="Normal 8 2" xfId="223" xr:uid="{00000000-0005-0000-0000-0000B3000000}"/>
    <cellStyle name="Normal 8 2 2" xfId="228" xr:uid="{00000000-0005-0000-0000-0000B4000000}"/>
    <cellStyle name="Normal 8 2 2 2" xfId="237" xr:uid="{ED30E86E-6787-4A17-AF92-CDB578F5C09F}"/>
    <cellStyle name="Normal 8 2 3" xfId="233" xr:uid="{C8471893-223E-4D1F-94C6-5FDBC6696BFA}"/>
    <cellStyle name="Normal 9" xfId="211" xr:uid="{00000000-0005-0000-0000-0000B5000000}"/>
    <cellStyle name="Notas" xfId="50" builtinId="10" customBuiltin="1"/>
    <cellStyle name="Notas 2" xfId="175" xr:uid="{00000000-0005-0000-0000-0000B7000000}"/>
    <cellStyle name="Notas 3" xfId="176" xr:uid="{00000000-0005-0000-0000-0000B8000000}"/>
    <cellStyle name="Notas 4" xfId="177" xr:uid="{00000000-0005-0000-0000-0000B9000000}"/>
    <cellStyle name="Output Amounts" xfId="51" xr:uid="{00000000-0005-0000-0000-0000BA000000}"/>
    <cellStyle name="Output Column Headings" xfId="52" xr:uid="{00000000-0005-0000-0000-0000BB000000}"/>
    <cellStyle name="Output Line Items" xfId="53" xr:uid="{00000000-0005-0000-0000-0000BC000000}"/>
    <cellStyle name="Output Report Heading" xfId="54" xr:uid="{00000000-0005-0000-0000-0000BD000000}"/>
    <cellStyle name="Output Report Title" xfId="55" xr:uid="{00000000-0005-0000-0000-0000BE000000}"/>
    <cellStyle name="Porcentaje" xfId="56" builtinId="5"/>
    <cellStyle name="Porcentaje 2" xfId="57" xr:uid="{00000000-0005-0000-0000-0000C0000000}"/>
    <cellStyle name="Porcentaje 2 2" xfId="216" xr:uid="{00000000-0005-0000-0000-0000C1000000}"/>
    <cellStyle name="Porcentaje 3" xfId="222" xr:uid="{00000000-0005-0000-0000-0000C2000000}"/>
    <cellStyle name="Porcentaje 3 2" xfId="227" xr:uid="{00000000-0005-0000-0000-0000C3000000}"/>
    <cellStyle name="Porcentaje 4" xfId="231" xr:uid="{43638352-8667-4F7D-BE97-DC6DE190B267}"/>
    <cellStyle name="Porcentaje 5" xfId="235" xr:uid="{D71BDFF3-AB27-4349-8E50-98CDFA350AD5}"/>
    <cellStyle name="Porcentual 2" xfId="58" xr:uid="{00000000-0005-0000-0000-0000C4000000}"/>
    <cellStyle name="Porcentual 3" xfId="59" xr:uid="{00000000-0005-0000-0000-0000C5000000}"/>
    <cellStyle name="Porcentual 4" xfId="69" xr:uid="{00000000-0005-0000-0000-0000C6000000}"/>
    <cellStyle name="Salida" xfId="60" builtinId="21" customBuiltin="1"/>
    <cellStyle name="Salida 2" xfId="178" xr:uid="{00000000-0005-0000-0000-0000C8000000}"/>
    <cellStyle name="Salida 3" xfId="179" xr:uid="{00000000-0005-0000-0000-0000C9000000}"/>
    <cellStyle name="Salida 4" xfId="180" xr:uid="{00000000-0005-0000-0000-0000CA000000}"/>
    <cellStyle name="Texto de advertencia" xfId="61" builtinId="11" customBuiltin="1"/>
    <cellStyle name="Texto de advertencia 2" xfId="181" xr:uid="{00000000-0005-0000-0000-0000CC000000}"/>
    <cellStyle name="Texto de advertencia 3" xfId="182" xr:uid="{00000000-0005-0000-0000-0000CD000000}"/>
    <cellStyle name="Texto de advertencia 4" xfId="183" xr:uid="{00000000-0005-0000-0000-0000CE000000}"/>
    <cellStyle name="Texto explicativo" xfId="62" builtinId="53" customBuiltin="1"/>
    <cellStyle name="Texto explicativo 2" xfId="184" xr:uid="{00000000-0005-0000-0000-0000D0000000}"/>
    <cellStyle name="Texto explicativo 3" xfId="185" xr:uid="{00000000-0005-0000-0000-0000D1000000}"/>
    <cellStyle name="Texto explicativo 4" xfId="186" xr:uid="{00000000-0005-0000-0000-0000D2000000}"/>
    <cellStyle name="Título" xfId="63" builtinId="15" customBuiltin="1"/>
    <cellStyle name="Título 1 2" xfId="187" xr:uid="{00000000-0005-0000-0000-0000D4000000}"/>
    <cellStyle name="Título 1 3" xfId="188" xr:uid="{00000000-0005-0000-0000-0000D5000000}"/>
    <cellStyle name="Título 1 4" xfId="189" xr:uid="{00000000-0005-0000-0000-0000D6000000}"/>
    <cellStyle name="Título 2" xfId="65" builtinId="17" customBuiltin="1"/>
    <cellStyle name="Título 2 2" xfId="190" xr:uid="{00000000-0005-0000-0000-0000D8000000}"/>
    <cellStyle name="Título 2 3" xfId="191" xr:uid="{00000000-0005-0000-0000-0000D9000000}"/>
    <cellStyle name="Título 2 4" xfId="192" xr:uid="{00000000-0005-0000-0000-0000DA000000}"/>
    <cellStyle name="Título 3" xfId="66" builtinId="18" customBuiltin="1"/>
    <cellStyle name="Título 3 2" xfId="193" xr:uid="{00000000-0005-0000-0000-0000DC000000}"/>
    <cellStyle name="Título 3 3" xfId="194" xr:uid="{00000000-0005-0000-0000-0000DD000000}"/>
    <cellStyle name="Título 3 4" xfId="195" xr:uid="{00000000-0005-0000-0000-0000DE000000}"/>
    <cellStyle name="Título 4" xfId="196" xr:uid="{00000000-0005-0000-0000-0000DF000000}"/>
    <cellStyle name="Título 5" xfId="197" xr:uid="{00000000-0005-0000-0000-0000E0000000}"/>
    <cellStyle name="Título 6" xfId="198" xr:uid="{00000000-0005-0000-0000-0000E1000000}"/>
    <cellStyle name="Total" xfId="67" builtinId="25" customBuiltin="1"/>
    <cellStyle name="Total 2" xfId="199" xr:uid="{00000000-0005-0000-0000-0000E3000000}"/>
    <cellStyle name="Total 3" xfId="200" xr:uid="{00000000-0005-0000-0000-0000E4000000}"/>
    <cellStyle name="Total 4" xfId="201" xr:uid="{00000000-0005-0000-0000-0000E5000000}"/>
  </cellStyles>
  <dxfs count="44"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rgb="FFFFC0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fill>
        <patternFill>
          <bgColor theme="3" tint="0.59996337778862885"/>
        </patternFill>
      </fill>
    </dxf>
    <dxf>
      <numFmt numFmtId="1" formatCode="0"/>
    </dxf>
    <dxf>
      <numFmt numFmtId="1" formatCode="0"/>
    </dxf>
    <dxf>
      <numFmt numFmtId="1" formatCode="0"/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styles" Target="styles.xml"/><Relationship Id="rId4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25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46" Type="http://schemas.openxmlformats.org/officeDocument/2006/relationships/customXml" Target="../customXml/item2.xml"/><Relationship Id="rId20" Type="http://schemas.openxmlformats.org/officeDocument/2006/relationships/externalLink" Target="externalLinks/externalLink5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22</xdr:row>
      <xdr:rowOff>104776</xdr:rowOff>
    </xdr:from>
    <xdr:to>
      <xdr:col>12</xdr:col>
      <xdr:colOff>0</xdr:colOff>
      <xdr:row>30</xdr:row>
      <xdr:rowOff>66676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323850" y="4276726"/>
          <a:ext cx="5800725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Cargo</a:t>
          </a:r>
          <a:r>
            <a:rPr lang="es-PA" sz="1000" b="0" i="0" strike="noStrike" baseline="-25000">
              <a:solidFill>
                <a:srgbClr val="000000"/>
              </a:solidFill>
              <a:latin typeface="Arial"/>
              <a:cs typeface="Arial"/>
            </a:rPr>
            <a:t>ii </a:t>
          </a: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= [(0.33 + 0.67 (IPC</a:t>
          </a:r>
          <a:r>
            <a:rPr lang="es-PA" sz="1000" b="0" i="0" strike="noStrike" baseline="-25000">
              <a:solidFill>
                <a:srgbClr val="000000"/>
              </a:solidFill>
              <a:latin typeface="Arial"/>
              <a:cs typeface="Arial"/>
            </a:rPr>
            <a:t>i</a:t>
          </a: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/IPC</a:t>
          </a:r>
          <a:r>
            <a:rPr lang="es-PA" sz="1000" b="0" i="0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)]* Cargoi</a:t>
          </a:r>
          <a:r>
            <a:rPr lang="es-PA" sz="1000" b="0" i="0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endParaRPr lang="es-PA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Donde:</a:t>
          </a:r>
        </a:p>
        <a:p>
          <a:pPr algn="l" rtl="0">
            <a:lnSpc>
              <a:spcPts val="1100"/>
            </a:lnSpc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Cargoi</a:t>
          </a:r>
          <a:r>
            <a:rPr lang="es-PA" sz="1000" b="0" i="0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: es el cargo tarifario determinado a la fecha base de cálculo para el año i.</a:t>
          </a:r>
        </a:p>
        <a:p>
          <a:pPr algn="l" rtl="0">
            <a:lnSpc>
              <a:spcPts val="1100"/>
            </a:lnSpc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Cargoii: es el cargo tarifario para el año i actualizado al año i.</a:t>
          </a:r>
        </a:p>
        <a:p>
          <a:pPr algn="l" rtl="0">
            <a:lnSpc>
              <a:spcPts val="1100"/>
            </a:lnSpc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IPC</a:t>
          </a:r>
          <a:r>
            <a:rPr lang="es-PA" sz="1000" b="0" i="0" strike="noStrike" baseline="-25000">
              <a:solidFill>
                <a:srgbClr val="000000"/>
              </a:solidFill>
              <a:latin typeface="Arial"/>
              <a:cs typeface="Arial"/>
            </a:rPr>
            <a:t>0</a:t>
          </a: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: es Índice de Precios al Consumidor a la </a:t>
          </a:r>
          <a:r>
            <a:rPr lang="es-PA" sz="1000" b="1" i="0" u="sng" strike="noStrike">
              <a:solidFill>
                <a:srgbClr val="000000"/>
              </a:solidFill>
              <a:latin typeface="Arial"/>
              <a:cs typeface="Arial"/>
            </a:rPr>
            <a:t>fecha base de cálculo</a:t>
          </a: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, publicado por la Contraloría General de la República.</a:t>
          </a:r>
        </a:p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IPC</a:t>
          </a:r>
          <a:r>
            <a:rPr lang="es-PA" sz="1000" b="0" i="0" strike="noStrike" baseline="-25000">
              <a:solidFill>
                <a:srgbClr val="000000"/>
              </a:solidFill>
              <a:latin typeface="Arial"/>
              <a:cs typeface="Arial"/>
            </a:rPr>
            <a:t>i</a:t>
          </a: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: es Índice de Precios al Consumidor a </a:t>
          </a:r>
          <a:r>
            <a:rPr lang="es-PA" sz="1000" b="1" i="0" u="sng" strike="noStrike">
              <a:solidFill>
                <a:srgbClr val="000000"/>
              </a:solidFill>
              <a:latin typeface="Arial"/>
              <a:cs typeface="Arial"/>
            </a:rPr>
            <a:t>Diciembre del año i-1</a:t>
          </a: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, publicado por la Contraloría General de la República.</a:t>
          </a:r>
        </a:p>
        <a:p>
          <a:pPr algn="l" rtl="0">
            <a:defRPr sz="1000"/>
          </a:pPr>
          <a:endParaRPr lang="es-PA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38100</xdr:colOff>
      <xdr:row>30</xdr:row>
      <xdr:rowOff>47625</xdr:rowOff>
    </xdr:from>
    <xdr:to>
      <xdr:col>14</xdr:col>
      <xdr:colOff>180975</xdr:colOff>
      <xdr:row>40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5514975"/>
          <a:ext cx="4619625" cy="213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laneamiento\ETESA\Pronosticos%20de%20Demanda\Pronosticos%20de%20Demanda%202007%20MRN\PIB-2006-EstimadoMR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lejandro\Revicoes%20tarif&#225;rias\PA\M0755-03Panam&#225;Transmisi&#243;n2003\Informes\Fase%20IVIMP\Modelo%20Tarifas%20Transmisi&#243;n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Pliego%20Tarifario%20(2009-2013)%20Final%20entragado%20a%20ASEP%20-%2012%20agosto\2.%20Cargos%20por%20Conexi&#243;n\Cargos%20por%20Conexi&#243;n%202009-2013%20ASEP%20agost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planeamiento\Documents%20and%20Settings\mrivera\Mis%20documentos\TARIFAS%20DE%20TRANSMISION\R&#233;gimen%202005-2009\IMP\IMP%202005-09%20(FINAL%20post%20consulta%20p&#250;blica)+MR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laneamiento\Documents%20and%20Settings\mrivera\Mis%20documentos\TARIFAS%20DE%20TRANSMISION\R&#233;gimen%202005-2009\IMP\IMP%202005-09%20(FINAL%20post%20consulta%20p&#250;blica)+MRN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Documents%20and%20Settings\eperez\Mis%20documentos\ACTUALIZACION%20A&#209;O%202%20%202009-2013\IMP%202009%20-%202013\IMP%20RESOLUCION%202820%20FECHA%20DE%20PROYECT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eperez\AppData\Local\Microsoft\Windows\Temporary%20Internet%20Files\Content.Outlook\J3CWPSPJ\CUSPT%20(PLANTILLAS%20FINALES)\CUSPT_AT4(final)\1.%20DatosFij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eperez\AppData\Local\Microsoft\Windows\Temporary%20Internet%20Files\Content.Outlook\J3CWPSPJ\CUSPT%20(PLANTILLAS%20FINALES)\CUSPT_AT3(final)\1.%20DatosFij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eperez\AppData\Local\Microsoft\Windows\Temporary%20Internet%20Files\Content.Outlook\J3CWPSPJ\CUSPT%20(PLANTILLAS%20FINALES)\CUSPT_AT2(final)\1.%20DatosFij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eperez\AppData\Local\Microsoft\Windows\Temporary%20Internet%20Files\Content.Outlook\J3CWPSPJ\CUSPT%20(PLANTILLAS%20FINALES)\CUSPT_AT1(final)\1.%20DatosFijos.xls" TargetMode="External"/></Relationships>
</file>

<file path=xl/externalLinks/_rels/externalLink1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OI%20NOV2025\IMP%20ETESA%202025-2029%20Aprobado%20por%20la%20ASEP%20AN%20No20847Elec%2024sept25.xlsx" TargetMode="External"/><Relationship Id="rId1" Type="http://schemas.openxmlformats.org/officeDocument/2006/relationships/externalLinkPath" Target="/SOI%20NOV2025/IMP%20ETESA%202025-2029%20Aprobado%20por%20la%20ASEP%20AN%20No20847Elec%2024sept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B-2009-Estimado%20CC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pia%20de%20COBRADO%20JUL-DIC%202013%20CX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ehernandezc\AppData\Local\Microsoft\Windows\Temporary%20Internet%20Files\Content.Outlook\X3J326BG\imp_etesa_20132017%20semestral%20postrecurso%20de%20reconsideraci&#243;n%2021%20de%20enero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jmedina\Desktop\calculo%20de%20tarifas\JUNIO\1.%20CARGOS%20CUSPT%20REALES%202021-2022\2.%20DatosFijos_actualizado%20desde%20el%20mes%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lvega\Desktop\2-PLIEGO%20TARIFARIO%202021-2025\1.%20CARGOS%20CUSPT\A&#209;O%201\1.%20DatosFij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jmedina\Desktop\calculo%20de%20tarifas\JUNIO\1.%20CARGOS%20CUSPT%20REALES%202021-2022\resumen%20DMNC%20DR%20-%20AT1%202021-202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eperez\Desktop\IMP_ETESA_2013%202017%20Actualizacion%20Nota%20018%20Recibido%20ASEP%20FINAL%20269%2089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laneamiento\ETESA\Gerencia%20de%20Planeamiento%20%20de%20Inversiones\Pronosticos%20de%20Demanda\Pronosticos%20de%20Demanda%202014-2028\Proyecciones%20de%20PIB\PIB-2014-Estimado%20CC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\Planeamiento\ETESA\Gerencia%20de%20Planeamiento%20%20de%20Inversiones\Pronosticos%20de%20Demanda\Pronosticos%20de%20Demanda%202014-2028\Proyecciones%20de%20PIB\PIB-2014-Estimado%20CCB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Users\jmedina\AppData\Local\Microsoft\Windows\INetCache\Content.Outlook\1OVVFS5Q\1-modelo_calculo_etesa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rivera\Mis%20documentos\TARIFAS%20DE%20TRANSMISION\R&#233;gimen%202005-2009\IMP\IMP%202005-09%20(FINAL%20post%20consulta%20p&#250;blica)+MR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Documents%20and%20Settings\Mrivera\Mis%20documentos\TARIFAS%20DE%20TRANSMISION\R&#233;gimen%202005-2009\IMP\IMP%202005-09%20(FINAL%20post%20consulta%20p&#250;blica)+MR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rivera\Mis%20documentos\TARIFAS%20DE%20TRANSMISION\R&#233;gimen%202005-2009\IMP\IMP%202005-09%20(FINAL%20post%20consulta%20p&#250;blica)+MR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dromeda22\Gesti&#243;n_Comercial\Alejandro\Revicoes%20tarif&#225;rias\PA\M0755-03Panam&#225;Transmisi&#243;n2003\Informes\Fase%20IVIMP\Modelo%20Tarifas%20Transmisi&#243;n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ustria-Algunos indicadores"/>
      <sheetName val="PIB 2006, tres metodologías"/>
      <sheetName val="Verificación de Estructura %"/>
      <sheetName val="Evalua Estimado 2005"/>
      <sheetName val="2001-2005-Contraloría"/>
      <sheetName val=" Demanda - Minera-ACP-Perdidas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T"/>
      <sheetName val="IPSPT"/>
      <sheetName val="IPCT"/>
      <sheetName val="ACTIVOS"/>
      <sheetName val="VNR"/>
      <sheetName val="ADMT%-OMT%"/>
      <sheetName val="RRT"/>
      <sheetName val="CND"/>
      <sheetName val="Hidromet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14">
          <cell r="D14">
            <v>7.85E-2</v>
          </cell>
        </row>
      </sheetData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X cxj  "/>
      <sheetName val=" VNR2007"/>
      <sheetName val="SALIDAS Y TRANSFORMACION"/>
      <sheetName val="N de Instalaciones"/>
      <sheetName val="IMP"/>
      <sheetName val="IPCT"/>
      <sheetName val="IPCT vnr"/>
      <sheetName val="FA"/>
      <sheetName val="CX cxj  expansión condicion"/>
      <sheetName val="VERIFICACIÓN DE INGRESOS"/>
      <sheetName val="Parámetros de eficiencia"/>
      <sheetName val="S-E Charco Azul trafo"/>
      <sheetName val="S-E CHORRERA 230"/>
      <sheetName val="S-E CHORRERA trafo"/>
      <sheetName val="S-E CHORRERA 34"/>
      <sheetName val="S-E Charco azul 115"/>
      <sheetName val="S-E LL SANCHEZ 115"/>
      <sheetName val="S-E LL SANCHEZ trafo"/>
      <sheetName val="S-E PROGRESO 115"/>
      <sheetName val="S-E PROGRESO 34"/>
      <sheetName val="S-E MATA DE NANCE 34"/>
      <sheetName val="S-E LL SANCHEZ 34"/>
      <sheetName val="TEXTO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C14">
            <v>0.1071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</sheetNames>
    <sheetDataSet>
      <sheetData sheetId="0"/>
      <sheetData sheetId="1"/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</sheetNames>
    <sheetDataSet>
      <sheetData sheetId="0"/>
      <sheetData sheetId="1">
        <row r="14">
          <cell r="D14">
            <v>2000.9</v>
          </cell>
        </row>
      </sheetData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"/>
      <sheetName val="ART. 177"/>
      <sheetName val="EVOLUCIÓN BIENES"/>
      <sheetName val="BIENES 2008"/>
      <sheetName val="ACTIVOS"/>
      <sheetName val="TASA DE DEPRECIACIÓN"/>
      <sheetName val="PLAN EXPANSIÓN"/>
      <sheetName val="PLAN EXPANSIÓN_RES"/>
      <sheetName val="VNR LÍNEAS"/>
      <sheetName val="VNR SE"/>
      <sheetName val="VNR_ RES"/>
      <sheetName val="CND"/>
      <sheetName val="CND SOLICITADO"/>
      <sheetName val="CND AJUSTADO"/>
      <sheetName val="CND AJUSTADO -RES"/>
      <sheetName val="HID"/>
      <sheetName val="HID2"/>
    </sheetNames>
    <sheetDataSet>
      <sheetData sheetId="0">
        <row r="10">
          <cell r="D10">
            <v>0.1071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od"/>
      <sheetName val="Ram"/>
    </sheetNames>
    <sheetDataSet>
      <sheetData sheetId="0"/>
      <sheetData sheetId="1"/>
      <sheetData sheetId="2">
        <row r="4">
          <cell r="D4" t="str">
            <v>Pan-Pan115</v>
          </cell>
          <cell r="G4">
            <v>0</v>
          </cell>
          <cell r="H4">
            <v>350</v>
          </cell>
        </row>
        <row r="5">
          <cell r="D5" t="str">
            <v>Pan-PanII</v>
          </cell>
          <cell r="G5">
            <v>12.94</v>
          </cell>
          <cell r="H5">
            <v>350</v>
          </cell>
        </row>
        <row r="6">
          <cell r="D6" t="str">
            <v>Pan-PanII</v>
          </cell>
          <cell r="G6">
            <v>12.94</v>
          </cell>
          <cell r="H6">
            <v>350</v>
          </cell>
        </row>
        <row r="7">
          <cell r="D7" t="str">
            <v>Pan-Cho</v>
          </cell>
          <cell r="G7">
            <v>39</v>
          </cell>
          <cell r="H7">
            <v>247</v>
          </cell>
        </row>
        <row r="8">
          <cell r="D8" t="str">
            <v>Pan-Cho</v>
          </cell>
          <cell r="G8">
            <v>39</v>
          </cell>
          <cell r="H8">
            <v>247</v>
          </cell>
        </row>
        <row r="9">
          <cell r="D9" t="str">
            <v>Pan-PanIII</v>
          </cell>
          <cell r="G9">
            <v>13</v>
          </cell>
          <cell r="H9">
            <v>400</v>
          </cell>
        </row>
        <row r="10">
          <cell r="D10" t="str">
            <v>Pan-PanIII</v>
          </cell>
          <cell r="G10">
            <v>13</v>
          </cell>
          <cell r="H10">
            <v>400</v>
          </cell>
        </row>
        <row r="11">
          <cell r="D11" t="str">
            <v>Pan-Cac</v>
          </cell>
          <cell r="G11">
            <v>0.8</v>
          </cell>
          <cell r="H11">
            <v>120</v>
          </cell>
        </row>
        <row r="12">
          <cell r="D12" t="str">
            <v>Pan-Cac</v>
          </cell>
          <cell r="G12">
            <v>0.8</v>
          </cell>
          <cell r="H12">
            <v>142</v>
          </cell>
        </row>
        <row r="13">
          <cell r="D13" t="str">
            <v>Pan-Chi</v>
          </cell>
          <cell r="G13">
            <v>22.6</v>
          </cell>
          <cell r="H13">
            <v>203</v>
          </cell>
        </row>
        <row r="14">
          <cell r="D14" t="str">
            <v>Pan-Sma</v>
          </cell>
          <cell r="G14">
            <v>1.4</v>
          </cell>
          <cell r="H14">
            <v>93</v>
          </cell>
        </row>
        <row r="15">
          <cell r="D15" t="str">
            <v>Pan-Cpa</v>
          </cell>
          <cell r="G15">
            <v>39</v>
          </cell>
          <cell r="H15">
            <v>203</v>
          </cell>
        </row>
        <row r="16">
          <cell r="D16" t="str">
            <v>PanII-PanII115</v>
          </cell>
          <cell r="G16">
            <v>0</v>
          </cell>
          <cell r="H16">
            <v>175</v>
          </cell>
        </row>
        <row r="17">
          <cell r="D17" t="str">
            <v>PanII-Pac</v>
          </cell>
          <cell r="G17">
            <v>19</v>
          </cell>
          <cell r="H17">
            <v>186</v>
          </cell>
        </row>
        <row r="18">
          <cell r="D18" t="str">
            <v>PanII-PanIII</v>
          </cell>
          <cell r="G18">
            <v>25.94</v>
          </cell>
          <cell r="H18">
            <v>275</v>
          </cell>
        </row>
        <row r="19">
          <cell r="D19" t="str">
            <v>PanII-PanIII</v>
          </cell>
          <cell r="G19">
            <v>25.94</v>
          </cell>
          <cell r="H19">
            <v>275</v>
          </cell>
        </row>
        <row r="20">
          <cell r="D20" t="str">
            <v>PanII-24Dic</v>
          </cell>
          <cell r="G20">
            <v>9</v>
          </cell>
          <cell r="H20">
            <v>186</v>
          </cell>
        </row>
        <row r="21">
          <cell r="D21" t="str">
            <v>PanII-Sri</v>
          </cell>
          <cell r="G21">
            <v>48</v>
          </cell>
          <cell r="H21">
            <v>200</v>
          </cell>
        </row>
        <row r="22">
          <cell r="D22" t="str">
            <v>PanII-Sri</v>
          </cell>
          <cell r="G22">
            <v>48</v>
          </cell>
          <cell r="H22">
            <v>200</v>
          </cell>
        </row>
        <row r="23">
          <cell r="D23" t="str">
            <v>Cho-Lsa</v>
          </cell>
          <cell r="G23">
            <v>142.19</v>
          </cell>
          <cell r="H23">
            <v>400</v>
          </cell>
        </row>
        <row r="24">
          <cell r="D24" t="str">
            <v>Cho-Lsa</v>
          </cell>
          <cell r="G24">
            <v>142.19</v>
          </cell>
          <cell r="H24">
            <v>400</v>
          </cell>
        </row>
        <row r="25">
          <cell r="D25" t="str">
            <v>Cho-Elh</v>
          </cell>
          <cell r="G25">
            <v>82.5</v>
          </cell>
          <cell r="H25">
            <v>247</v>
          </cell>
        </row>
        <row r="26">
          <cell r="D26" t="str">
            <v>Cho-Elh</v>
          </cell>
          <cell r="G26">
            <v>82.5</v>
          </cell>
          <cell r="H26">
            <v>247</v>
          </cell>
        </row>
        <row r="27">
          <cell r="D27" t="str">
            <v>Cho-PanIII</v>
          </cell>
          <cell r="G27">
            <v>26</v>
          </cell>
          <cell r="H27">
            <v>400</v>
          </cell>
        </row>
        <row r="28">
          <cell r="D28" t="str">
            <v>Cho-PanIII</v>
          </cell>
          <cell r="G28">
            <v>26</v>
          </cell>
          <cell r="H28">
            <v>400</v>
          </cell>
        </row>
        <row r="29">
          <cell r="D29" t="str">
            <v>Lsa-Vel</v>
          </cell>
          <cell r="G29">
            <v>110.07</v>
          </cell>
          <cell r="H29">
            <v>400</v>
          </cell>
        </row>
        <row r="30">
          <cell r="D30" t="str">
            <v>Lsa-Vel</v>
          </cell>
          <cell r="G30">
            <v>110.07</v>
          </cell>
          <cell r="H30">
            <v>400</v>
          </cell>
        </row>
        <row r="31">
          <cell r="D31" t="str">
            <v>Lsa-Vel</v>
          </cell>
          <cell r="G31">
            <v>109.36</v>
          </cell>
          <cell r="H31">
            <v>247</v>
          </cell>
        </row>
        <row r="32">
          <cell r="D32" t="str">
            <v>Lsa-Elh</v>
          </cell>
          <cell r="G32">
            <v>59.7</v>
          </cell>
          <cell r="H32">
            <v>247</v>
          </cell>
        </row>
        <row r="33">
          <cell r="D33" t="str">
            <v>Lsa-Elh</v>
          </cell>
          <cell r="G33">
            <v>59.7</v>
          </cell>
          <cell r="H33">
            <v>247</v>
          </cell>
        </row>
        <row r="34">
          <cell r="D34" t="str">
            <v>Lsa-Eco</v>
          </cell>
          <cell r="G34">
            <v>60</v>
          </cell>
          <cell r="H34">
            <v>275</v>
          </cell>
        </row>
        <row r="35">
          <cell r="D35" t="str">
            <v>Lsa-Eco</v>
          </cell>
          <cell r="G35">
            <v>60</v>
          </cell>
          <cell r="H35">
            <v>275</v>
          </cell>
        </row>
        <row r="36">
          <cell r="D36" t="str">
            <v>Lsa-Sba</v>
          </cell>
          <cell r="G36">
            <v>70.5</v>
          </cell>
          <cell r="H36">
            <v>275</v>
          </cell>
        </row>
        <row r="37">
          <cell r="D37" t="str">
            <v>Lsa-Sba</v>
          </cell>
          <cell r="G37">
            <v>70.5</v>
          </cell>
          <cell r="H37">
            <v>275</v>
          </cell>
        </row>
        <row r="38">
          <cell r="D38" t="str">
            <v>Lsa-Bbl</v>
          </cell>
          <cell r="G38">
            <v>100.73</v>
          </cell>
          <cell r="H38">
            <v>247</v>
          </cell>
        </row>
        <row r="39">
          <cell r="D39" t="str">
            <v>Lsa Transfo</v>
          </cell>
          <cell r="G39">
            <v>0</v>
          </cell>
          <cell r="H39">
            <v>70</v>
          </cell>
        </row>
        <row r="40">
          <cell r="D40" t="str">
            <v>Lsa Transfo</v>
          </cell>
          <cell r="G40">
            <v>0</v>
          </cell>
          <cell r="H40">
            <v>70</v>
          </cell>
        </row>
        <row r="41">
          <cell r="D41" t="str">
            <v>Lsa Transfo</v>
          </cell>
          <cell r="G41">
            <v>0</v>
          </cell>
          <cell r="H41">
            <v>70</v>
          </cell>
        </row>
        <row r="42">
          <cell r="D42" t="str">
            <v>Mdn-Pro</v>
          </cell>
          <cell r="G42">
            <v>54</v>
          </cell>
          <cell r="H42">
            <v>400</v>
          </cell>
        </row>
        <row r="43">
          <cell r="D43" t="str">
            <v>Mdn-For</v>
          </cell>
          <cell r="G43">
            <v>37.5</v>
          </cell>
          <cell r="H43">
            <v>193</v>
          </cell>
        </row>
        <row r="44">
          <cell r="D44" t="str">
            <v>Mdn-For</v>
          </cell>
          <cell r="G44">
            <v>37.5</v>
          </cell>
          <cell r="H44">
            <v>193</v>
          </cell>
        </row>
        <row r="45">
          <cell r="D45" t="str">
            <v>Mdn-Vel</v>
          </cell>
          <cell r="G45">
            <v>84.49</v>
          </cell>
          <cell r="H45">
            <v>350</v>
          </cell>
        </row>
        <row r="46">
          <cell r="D46" t="str">
            <v>Mdn-Vel</v>
          </cell>
          <cell r="G46">
            <v>84.49</v>
          </cell>
          <cell r="H46">
            <v>350</v>
          </cell>
        </row>
        <row r="47">
          <cell r="D47" t="str">
            <v>Mdn-BoqIII</v>
          </cell>
          <cell r="G47">
            <v>27</v>
          </cell>
          <cell r="H47">
            <v>400</v>
          </cell>
        </row>
        <row r="48">
          <cell r="D48" t="str">
            <v>Mdn Tranfo</v>
          </cell>
          <cell r="G48">
            <v>0</v>
          </cell>
          <cell r="H48">
            <v>70</v>
          </cell>
        </row>
        <row r="49">
          <cell r="D49" t="str">
            <v>Mdn-Cal</v>
          </cell>
          <cell r="G49">
            <v>25</v>
          </cell>
          <cell r="H49">
            <v>93</v>
          </cell>
        </row>
        <row r="50">
          <cell r="D50" t="str">
            <v>Mdn-Cal</v>
          </cell>
          <cell r="G50">
            <v>25</v>
          </cell>
          <cell r="H50">
            <v>93</v>
          </cell>
        </row>
        <row r="51">
          <cell r="D51" t="str">
            <v>Mdn Tranfo</v>
          </cell>
          <cell r="G51">
            <v>0</v>
          </cell>
          <cell r="H51">
            <v>70</v>
          </cell>
        </row>
        <row r="52">
          <cell r="D52" t="str">
            <v>Mdn Tranfo</v>
          </cell>
          <cell r="G52">
            <v>0</v>
          </cell>
          <cell r="H52">
            <v>70</v>
          </cell>
        </row>
        <row r="53">
          <cell r="D53" t="str">
            <v>Pro-BoqIII</v>
          </cell>
          <cell r="G53">
            <v>27</v>
          </cell>
          <cell r="H53">
            <v>400</v>
          </cell>
        </row>
        <row r="54">
          <cell r="D54" t="str">
            <v>Cac-Sma</v>
          </cell>
          <cell r="G54">
            <v>1</v>
          </cell>
          <cell r="H54">
            <v>97</v>
          </cell>
        </row>
        <row r="55">
          <cell r="D55" t="str">
            <v>Cac-Sri</v>
          </cell>
          <cell r="G55">
            <v>46.6</v>
          </cell>
          <cell r="H55">
            <v>150</v>
          </cell>
        </row>
        <row r="56">
          <cell r="D56" t="str">
            <v>Cac-Sri</v>
          </cell>
          <cell r="G56">
            <v>46.6</v>
          </cell>
          <cell r="H56">
            <v>150</v>
          </cell>
        </row>
        <row r="57">
          <cell r="D57" t="str">
            <v>Chi-LM2</v>
          </cell>
          <cell r="G57">
            <v>31.5</v>
          </cell>
          <cell r="H57">
            <v>203</v>
          </cell>
        </row>
        <row r="58">
          <cell r="D58" t="str">
            <v>LM1-LMD</v>
          </cell>
          <cell r="G58">
            <v>0.25</v>
          </cell>
          <cell r="H58">
            <v>90.6</v>
          </cell>
        </row>
        <row r="59">
          <cell r="D59" t="str">
            <v>LM1-Sri</v>
          </cell>
          <cell r="G59">
            <v>6.2</v>
          </cell>
          <cell r="H59">
            <v>150</v>
          </cell>
        </row>
        <row r="60">
          <cell r="D60" t="str">
            <v>LM1-Cat</v>
          </cell>
          <cell r="G60">
            <v>7.4999999999999997E-2</v>
          </cell>
          <cell r="H60">
            <v>258.94</v>
          </cell>
        </row>
        <row r="61">
          <cell r="D61" t="str">
            <v>LM1-CatII</v>
          </cell>
          <cell r="G61">
            <v>0.8</v>
          </cell>
          <cell r="H61">
            <v>150</v>
          </cell>
        </row>
        <row r="62">
          <cell r="D62" t="str">
            <v>LM2-LMD</v>
          </cell>
          <cell r="G62">
            <v>0.25</v>
          </cell>
          <cell r="H62">
            <v>90.6</v>
          </cell>
        </row>
        <row r="63">
          <cell r="D63" t="str">
            <v>LM2-Cpa</v>
          </cell>
          <cell r="G63">
            <v>15</v>
          </cell>
          <cell r="H63">
            <v>203</v>
          </cell>
        </row>
        <row r="64">
          <cell r="D64" t="str">
            <v>LM2-Cat</v>
          </cell>
          <cell r="G64">
            <v>7.4999999999999997E-2</v>
          </cell>
          <cell r="H64">
            <v>258.94</v>
          </cell>
        </row>
        <row r="65">
          <cell r="D65" t="str">
            <v>Cal-Les</v>
          </cell>
          <cell r="G65">
            <v>5.8</v>
          </cell>
          <cell r="H65">
            <v>93</v>
          </cell>
        </row>
        <row r="66">
          <cell r="D66" t="str">
            <v>Cal-Lva</v>
          </cell>
          <cell r="G66">
            <v>2</v>
          </cell>
          <cell r="H66">
            <v>93</v>
          </cell>
        </row>
        <row r="67">
          <cell r="D67" t="str">
            <v>Cal Transfo</v>
          </cell>
          <cell r="G67">
            <v>0</v>
          </cell>
          <cell r="H67">
            <v>62.5</v>
          </cell>
        </row>
        <row r="68">
          <cell r="D68" t="str">
            <v>For-Gua</v>
          </cell>
          <cell r="G68">
            <v>16</v>
          </cell>
          <cell r="H68">
            <v>276</v>
          </cell>
        </row>
        <row r="69">
          <cell r="D69" t="str">
            <v>For-Esp</v>
          </cell>
          <cell r="G69">
            <v>97.55</v>
          </cell>
          <cell r="H69">
            <v>304</v>
          </cell>
        </row>
        <row r="70">
          <cell r="D70" t="str">
            <v>Bay-Pac</v>
          </cell>
          <cell r="G70">
            <v>49.14</v>
          </cell>
          <cell r="H70">
            <v>186</v>
          </cell>
        </row>
        <row r="71">
          <cell r="D71" t="str">
            <v>Bay-24Dic</v>
          </cell>
          <cell r="G71">
            <v>58.4</v>
          </cell>
          <cell r="H71">
            <v>186</v>
          </cell>
        </row>
        <row r="72">
          <cell r="D72" t="str">
            <v>Sri-CatII</v>
          </cell>
          <cell r="G72">
            <v>6.2</v>
          </cell>
          <cell r="H72">
            <v>150</v>
          </cell>
        </row>
        <row r="73">
          <cell r="D73" t="str">
            <v>Gua-Vel</v>
          </cell>
          <cell r="G73">
            <v>84.3</v>
          </cell>
          <cell r="H73">
            <v>275</v>
          </cell>
        </row>
        <row r="74">
          <cell r="D74" t="str">
            <v>Gua-Vel</v>
          </cell>
          <cell r="G74">
            <v>84.3</v>
          </cell>
          <cell r="H74">
            <v>275</v>
          </cell>
        </row>
        <row r="75">
          <cell r="D75" t="str">
            <v>Gua-Can</v>
          </cell>
          <cell r="G75">
            <v>44</v>
          </cell>
          <cell r="H75">
            <v>276</v>
          </cell>
        </row>
        <row r="76">
          <cell r="D76" t="str">
            <v>Vel-Dom</v>
          </cell>
          <cell r="G76">
            <v>133</v>
          </cell>
          <cell r="H76">
            <v>300</v>
          </cell>
        </row>
        <row r="77">
          <cell r="D77" t="str">
            <v>Vel-Sba</v>
          </cell>
          <cell r="G77">
            <v>39.57</v>
          </cell>
          <cell r="H77">
            <v>275</v>
          </cell>
        </row>
        <row r="78">
          <cell r="D78" t="str">
            <v>Vel-Sba</v>
          </cell>
          <cell r="G78">
            <v>39.57</v>
          </cell>
          <cell r="H78">
            <v>275</v>
          </cell>
        </row>
        <row r="79">
          <cell r="D79" t="str">
            <v>Vel-Bbl</v>
          </cell>
          <cell r="G79">
            <v>8.64</v>
          </cell>
          <cell r="H79">
            <v>247</v>
          </cell>
        </row>
        <row r="80">
          <cell r="D80" t="str">
            <v>Cha Transfo</v>
          </cell>
          <cell r="G80">
            <v>0</v>
          </cell>
          <cell r="H80">
            <v>50</v>
          </cell>
        </row>
        <row r="81">
          <cell r="D81" t="str">
            <v>Cha-Esp</v>
          </cell>
          <cell r="G81">
            <v>24.11</v>
          </cell>
          <cell r="H81">
            <v>304</v>
          </cell>
        </row>
        <row r="82">
          <cell r="D82" t="str">
            <v>Cha-Can</v>
          </cell>
          <cell r="G82">
            <v>76.650000000000006</v>
          </cell>
          <cell r="H82">
            <v>304</v>
          </cell>
        </row>
        <row r="83">
          <cell r="D83" t="str">
            <v>Cha-Frn2</v>
          </cell>
          <cell r="G83">
            <v>15</v>
          </cell>
          <cell r="H83">
            <v>304</v>
          </cell>
        </row>
        <row r="84">
          <cell r="D84" t="str">
            <v>BoqIII Transfo 1</v>
          </cell>
          <cell r="G84">
            <v>0</v>
          </cell>
          <cell r="H84">
            <v>83.3</v>
          </cell>
        </row>
        <row r="85">
          <cell r="D85" t="str">
            <v>BoqIII Transfo 2</v>
          </cell>
          <cell r="G85">
            <v>0</v>
          </cell>
          <cell r="H85">
            <v>83.3</v>
          </cell>
        </row>
        <row r="86">
          <cell r="D86" t="str">
            <v>Tel-PanIII</v>
          </cell>
          <cell r="G86">
            <v>66.5</v>
          </cell>
          <cell r="H86">
            <v>704</v>
          </cell>
        </row>
        <row r="87">
          <cell r="D87" t="str">
            <v>Tel-PanIII</v>
          </cell>
          <cell r="G87">
            <v>66.5</v>
          </cell>
          <cell r="H87">
            <v>704</v>
          </cell>
        </row>
        <row r="88">
          <cell r="D88" t="str">
            <v>Eco-PanIII</v>
          </cell>
          <cell r="G88">
            <v>109.06</v>
          </cell>
          <cell r="H88">
            <v>275</v>
          </cell>
        </row>
        <row r="89">
          <cell r="D89" t="str">
            <v>Eco-PanIII</v>
          </cell>
          <cell r="G89">
            <v>109.06</v>
          </cell>
          <cell r="H89">
            <v>275</v>
          </cell>
        </row>
        <row r="90">
          <cell r="D90" t="str">
            <v>Frn3-Dom</v>
          </cell>
          <cell r="G90">
            <v>17</v>
          </cell>
          <cell r="H90">
            <v>300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od"/>
      <sheetName val="Ram"/>
    </sheetNames>
    <sheetDataSet>
      <sheetData sheetId="0" refreshError="1"/>
      <sheetData sheetId="1" refreshError="1"/>
      <sheetData sheetId="2">
        <row r="4">
          <cell r="D4" t="str">
            <v>Pan-Pan115</v>
          </cell>
          <cell r="G4">
            <v>0</v>
          </cell>
          <cell r="H4">
            <v>350</v>
          </cell>
        </row>
        <row r="5">
          <cell r="D5" t="str">
            <v>Pan-PanII</v>
          </cell>
          <cell r="G5">
            <v>12.94</v>
          </cell>
          <cell r="H5">
            <v>350</v>
          </cell>
        </row>
        <row r="6">
          <cell r="D6" t="str">
            <v>Pan-PanII</v>
          </cell>
          <cell r="G6">
            <v>12.94</v>
          </cell>
          <cell r="H6">
            <v>350</v>
          </cell>
        </row>
        <row r="7">
          <cell r="D7" t="str">
            <v>Pan-Cho</v>
          </cell>
          <cell r="G7">
            <v>39</v>
          </cell>
          <cell r="H7">
            <v>247</v>
          </cell>
        </row>
        <row r="8">
          <cell r="D8" t="str">
            <v>Pan-Cho</v>
          </cell>
          <cell r="G8">
            <v>39</v>
          </cell>
          <cell r="H8">
            <v>247</v>
          </cell>
        </row>
        <row r="9">
          <cell r="D9" t="str">
            <v>Pan-Cac</v>
          </cell>
          <cell r="G9">
            <v>0.8</v>
          </cell>
          <cell r="H9">
            <v>120</v>
          </cell>
        </row>
        <row r="10">
          <cell r="D10" t="str">
            <v>Pan-Cac</v>
          </cell>
          <cell r="G10">
            <v>0.8</v>
          </cell>
          <cell r="H10">
            <v>142</v>
          </cell>
        </row>
        <row r="11">
          <cell r="D11" t="str">
            <v>Pan-Chi</v>
          </cell>
          <cell r="G11">
            <v>22.6</v>
          </cell>
          <cell r="H11">
            <v>93</v>
          </cell>
        </row>
        <row r="12">
          <cell r="D12" t="str">
            <v>Pan-Sma</v>
          </cell>
          <cell r="G12">
            <v>1.4</v>
          </cell>
          <cell r="H12">
            <v>93</v>
          </cell>
        </row>
        <row r="13">
          <cell r="D13" t="str">
            <v>Pan-Cpa</v>
          </cell>
          <cell r="G13">
            <v>39</v>
          </cell>
          <cell r="H13">
            <v>93</v>
          </cell>
        </row>
        <row r="14">
          <cell r="D14" t="str">
            <v>PanII-PanII115</v>
          </cell>
          <cell r="G14">
            <v>0</v>
          </cell>
          <cell r="H14">
            <v>175</v>
          </cell>
        </row>
        <row r="15">
          <cell r="D15" t="str">
            <v>PanII-Pac</v>
          </cell>
          <cell r="G15">
            <v>19</v>
          </cell>
          <cell r="H15">
            <v>186</v>
          </cell>
        </row>
        <row r="16">
          <cell r="D16" t="str">
            <v>PanII-Eco</v>
          </cell>
          <cell r="G16">
            <v>135</v>
          </cell>
          <cell r="H16">
            <v>275</v>
          </cell>
        </row>
        <row r="17">
          <cell r="D17" t="str">
            <v>PanII-Eco</v>
          </cell>
          <cell r="G17">
            <v>135</v>
          </cell>
          <cell r="H17">
            <v>275</v>
          </cell>
        </row>
        <row r="18">
          <cell r="D18" t="str">
            <v>PanII-24Dic</v>
          </cell>
          <cell r="G18">
            <v>9</v>
          </cell>
          <cell r="H18">
            <v>186</v>
          </cell>
        </row>
        <row r="19">
          <cell r="D19" t="str">
            <v>PanII-Sri</v>
          </cell>
          <cell r="G19">
            <v>48</v>
          </cell>
          <cell r="H19">
            <v>200</v>
          </cell>
        </row>
        <row r="20">
          <cell r="D20" t="str">
            <v>PanII-Sri</v>
          </cell>
          <cell r="G20">
            <v>48</v>
          </cell>
          <cell r="H20">
            <v>200</v>
          </cell>
        </row>
        <row r="21">
          <cell r="D21" t="str">
            <v>Cho-Elh</v>
          </cell>
          <cell r="G21">
            <v>82.5</v>
          </cell>
          <cell r="H21">
            <v>247</v>
          </cell>
        </row>
        <row r="22">
          <cell r="D22" t="str">
            <v>Cho-Elh</v>
          </cell>
          <cell r="G22">
            <v>82.5</v>
          </cell>
          <cell r="H22">
            <v>247</v>
          </cell>
        </row>
        <row r="23">
          <cell r="D23" t="str">
            <v>Lsa-Sba</v>
          </cell>
          <cell r="G23">
            <v>70.5</v>
          </cell>
          <cell r="H23">
            <v>275</v>
          </cell>
        </row>
        <row r="24">
          <cell r="D24" t="str">
            <v>Lsa-Sba</v>
          </cell>
          <cell r="G24">
            <v>70.5</v>
          </cell>
          <cell r="H24">
            <v>275</v>
          </cell>
        </row>
        <row r="25">
          <cell r="D25" t="str">
            <v>Lsa-Vel</v>
          </cell>
          <cell r="G25">
            <v>109.36</v>
          </cell>
          <cell r="H25">
            <v>247</v>
          </cell>
        </row>
        <row r="26">
          <cell r="D26" t="str">
            <v>Lsa-Bbl</v>
          </cell>
          <cell r="G26">
            <v>100.73</v>
          </cell>
          <cell r="H26">
            <v>247</v>
          </cell>
        </row>
        <row r="27">
          <cell r="D27" t="str">
            <v>Lsa-Elh</v>
          </cell>
          <cell r="G27">
            <v>59.7</v>
          </cell>
          <cell r="H27">
            <v>247</v>
          </cell>
        </row>
        <row r="28">
          <cell r="D28" t="str">
            <v>Lsa-Elh</v>
          </cell>
          <cell r="G28">
            <v>59.7</v>
          </cell>
          <cell r="H28">
            <v>247</v>
          </cell>
        </row>
        <row r="29">
          <cell r="D29" t="str">
            <v>Lsa-Eco</v>
          </cell>
          <cell r="G29">
            <v>60</v>
          </cell>
          <cell r="H29">
            <v>275</v>
          </cell>
        </row>
        <row r="30">
          <cell r="D30" t="str">
            <v>Lsa-Eco</v>
          </cell>
          <cell r="G30">
            <v>60</v>
          </cell>
          <cell r="H30">
            <v>275</v>
          </cell>
        </row>
        <row r="31">
          <cell r="D31" t="str">
            <v>Lsa Transfo</v>
          </cell>
          <cell r="G31">
            <v>0</v>
          </cell>
          <cell r="H31">
            <v>70</v>
          </cell>
        </row>
        <row r="32">
          <cell r="D32" t="str">
            <v>Lsa Transfo</v>
          </cell>
          <cell r="G32">
            <v>0</v>
          </cell>
          <cell r="H32">
            <v>70</v>
          </cell>
        </row>
        <row r="33">
          <cell r="D33" t="str">
            <v>Lsa Transfo</v>
          </cell>
          <cell r="G33">
            <v>0</v>
          </cell>
          <cell r="H33">
            <v>70</v>
          </cell>
        </row>
        <row r="34">
          <cell r="D34" t="str">
            <v>Mdn-Pro</v>
          </cell>
          <cell r="G34">
            <v>54</v>
          </cell>
          <cell r="H34">
            <v>400</v>
          </cell>
        </row>
        <row r="35">
          <cell r="D35" t="str">
            <v>Mdn-For</v>
          </cell>
          <cell r="G35">
            <v>37.5</v>
          </cell>
          <cell r="H35">
            <v>193</v>
          </cell>
        </row>
        <row r="36">
          <cell r="D36" t="str">
            <v>Mdn-For</v>
          </cell>
          <cell r="G36">
            <v>37.5</v>
          </cell>
          <cell r="H36">
            <v>193</v>
          </cell>
        </row>
        <row r="37">
          <cell r="D37" t="str">
            <v>Mdn-Vel</v>
          </cell>
          <cell r="G37">
            <v>84.49</v>
          </cell>
          <cell r="H37">
            <v>350</v>
          </cell>
        </row>
        <row r="38">
          <cell r="D38" t="str">
            <v>Mdn-Vel</v>
          </cell>
          <cell r="G38">
            <v>84.49</v>
          </cell>
          <cell r="H38">
            <v>350</v>
          </cell>
        </row>
        <row r="39">
          <cell r="D39" t="str">
            <v>Mdn-BoqIII</v>
          </cell>
          <cell r="G39">
            <v>27</v>
          </cell>
          <cell r="H39">
            <v>400</v>
          </cell>
        </row>
        <row r="40">
          <cell r="D40" t="str">
            <v>Mdn Tranfo</v>
          </cell>
          <cell r="G40">
            <v>0</v>
          </cell>
          <cell r="H40">
            <v>70</v>
          </cell>
        </row>
        <row r="41">
          <cell r="D41" t="str">
            <v>Mdn-Cal</v>
          </cell>
          <cell r="G41">
            <v>25</v>
          </cell>
          <cell r="H41">
            <v>93</v>
          </cell>
        </row>
        <row r="42">
          <cell r="D42" t="str">
            <v>Mdn-Cal</v>
          </cell>
          <cell r="G42">
            <v>25</v>
          </cell>
          <cell r="H42">
            <v>93</v>
          </cell>
        </row>
        <row r="43">
          <cell r="D43" t="str">
            <v>Mdn Tranfo</v>
          </cell>
          <cell r="G43">
            <v>0</v>
          </cell>
          <cell r="H43">
            <v>70</v>
          </cell>
        </row>
        <row r="44">
          <cell r="D44" t="str">
            <v>Mdn Tranfo</v>
          </cell>
          <cell r="G44">
            <v>0</v>
          </cell>
          <cell r="H44">
            <v>70</v>
          </cell>
        </row>
        <row r="45">
          <cell r="D45" t="str">
            <v>Pro-BoqIII</v>
          </cell>
          <cell r="G45">
            <v>27</v>
          </cell>
          <cell r="H45">
            <v>400</v>
          </cell>
        </row>
        <row r="46">
          <cell r="D46" t="str">
            <v>Cac-Sma</v>
          </cell>
          <cell r="G46">
            <v>1</v>
          </cell>
          <cell r="H46">
            <v>97</v>
          </cell>
        </row>
        <row r="47">
          <cell r="D47" t="str">
            <v>Cac-Sri</v>
          </cell>
          <cell r="G47">
            <v>46.6</v>
          </cell>
          <cell r="H47">
            <v>150</v>
          </cell>
        </row>
        <row r="48">
          <cell r="D48" t="str">
            <v>Cac-Sri</v>
          </cell>
          <cell r="G48">
            <v>46.6</v>
          </cell>
          <cell r="H48">
            <v>150</v>
          </cell>
        </row>
        <row r="49">
          <cell r="D49" t="str">
            <v>Chi-LM2</v>
          </cell>
          <cell r="G49">
            <v>31.5</v>
          </cell>
          <cell r="H49">
            <v>93</v>
          </cell>
        </row>
        <row r="50">
          <cell r="D50" t="str">
            <v>LM1-LMD</v>
          </cell>
          <cell r="G50">
            <v>0.25</v>
          </cell>
          <cell r="H50">
            <v>90.6</v>
          </cell>
        </row>
        <row r="51">
          <cell r="D51" t="str">
            <v>LM1-Sri</v>
          </cell>
          <cell r="G51">
            <v>6.2</v>
          </cell>
          <cell r="H51">
            <v>150</v>
          </cell>
        </row>
        <row r="52">
          <cell r="D52" t="str">
            <v>LM1-Cat</v>
          </cell>
          <cell r="G52">
            <v>7.4999999999999997E-2</v>
          </cell>
          <cell r="H52">
            <v>258.94</v>
          </cell>
        </row>
        <row r="53">
          <cell r="D53" t="str">
            <v>LM1-CatII</v>
          </cell>
          <cell r="G53">
            <v>0.8</v>
          </cell>
          <cell r="H53">
            <v>150</v>
          </cell>
        </row>
        <row r="54">
          <cell r="D54" t="str">
            <v>LM2-LMD</v>
          </cell>
          <cell r="G54">
            <v>0.25</v>
          </cell>
          <cell r="H54">
            <v>90.6</v>
          </cell>
        </row>
        <row r="55">
          <cell r="D55" t="str">
            <v>LM2-Cpa</v>
          </cell>
          <cell r="G55">
            <v>15</v>
          </cell>
          <cell r="H55">
            <v>93</v>
          </cell>
        </row>
        <row r="56">
          <cell r="D56" t="str">
            <v>LM2-Cat</v>
          </cell>
          <cell r="G56">
            <v>7.4999999999999997E-2</v>
          </cell>
          <cell r="H56">
            <v>258.94</v>
          </cell>
        </row>
        <row r="57">
          <cell r="D57" t="str">
            <v>Cal-Les</v>
          </cell>
          <cell r="G57">
            <v>5.8</v>
          </cell>
          <cell r="H57">
            <v>93</v>
          </cell>
        </row>
        <row r="58">
          <cell r="D58" t="str">
            <v>Cal-Lva</v>
          </cell>
          <cell r="G58">
            <v>2</v>
          </cell>
          <cell r="H58">
            <v>93</v>
          </cell>
        </row>
        <row r="59">
          <cell r="D59" t="str">
            <v>Cal Transfo</v>
          </cell>
          <cell r="G59">
            <v>0</v>
          </cell>
          <cell r="H59">
            <v>62.5</v>
          </cell>
        </row>
        <row r="60">
          <cell r="D60" t="str">
            <v>For-Gua</v>
          </cell>
          <cell r="G60">
            <v>16</v>
          </cell>
          <cell r="H60">
            <v>276</v>
          </cell>
        </row>
        <row r="61">
          <cell r="D61" t="str">
            <v>For-Esp</v>
          </cell>
          <cell r="G61">
            <v>97.55</v>
          </cell>
          <cell r="H61">
            <v>304</v>
          </cell>
        </row>
        <row r="62">
          <cell r="D62" t="str">
            <v>Bay-Pac</v>
          </cell>
          <cell r="G62">
            <v>49.14</v>
          </cell>
          <cell r="H62">
            <v>186</v>
          </cell>
        </row>
        <row r="63">
          <cell r="D63" t="str">
            <v>Bay-24Dic</v>
          </cell>
          <cell r="G63">
            <v>58.4</v>
          </cell>
          <cell r="H63">
            <v>186</v>
          </cell>
        </row>
        <row r="64">
          <cell r="D64" t="str">
            <v>Sri-CatII</v>
          </cell>
          <cell r="G64">
            <v>6.2</v>
          </cell>
          <cell r="H64">
            <v>150</v>
          </cell>
        </row>
        <row r="65">
          <cell r="D65" t="str">
            <v>Gua-Vel</v>
          </cell>
          <cell r="G65">
            <v>84.3</v>
          </cell>
          <cell r="H65">
            <v>275</v>
          </cell>
        </row>
        <row r="66">
          <cell r="D66" t="str">
            <v>Gua-Vel</v>
          </cell>
          <cell r="G66">
            <v>84.3</v>
          </cell>
          <cell r="H66">
            <v>275</v>
          </cell>
        </row>
        <row r="67">
          <cell r="D67" t="str">
            <v>Gua-Can</v>
          </cell>
          <cell r="G67">
            <v>44</v>
          </cell>
          <cell r="H67">
            <v>276</v>
          </cell>
        </row>
        <row r="68">
          <cell r="D68" t="str">
            <v>Vel-Dom</v>
          </cell>
          <cell r="G68">
            <v>133</v>
          </cell>
          <cell r="H68">
            <v>300</v>
          </cell>
        </row>
        <row r="69">
          <cell r="D69" t="str">
            <v>Vel-Sba</v>
          </cell>
          <cell r="G69">
            <v>39.57</v>
          </cell>
          <cell r="H69">
            <v>275</v>
          </cell>
        </row>
        <row r="70">
          <cell r="D70" t="str">
            <v>Vel-Sba</v>
          </cell>
          <cell r="G70">
            <v>39.57</v>
          </cell>
          <cell r="H70">
            <v>275</v>
          </cell>
        </row>
        <row r="71">
          <cell r="D71" t="str">
            <v>Vel-Bbl</v>
          </cell>
          <cell r="G71">
            <v>8.64</v>
          </cell>
          <cell r="H71">
            <v>247</v>
          </cell>
        </row>
        <row r="72">
          <cell r="D72" t="str">
            <v>Cha Transfo</v>
          </cell>
          <cell r="G72">
            <v>0</v>
          </cell>
          <cell r="H72">
            <v>50</v>
          </cell>
        </row>
        <row r="73">
          <cell r="D73" t="str">
            <v>Cha-Esp</v>
          </cell>
          <cell r="G73">
            <v>24.11</v>
          </cell>
          <cell r="H73">
            <v>304</v>
          </cell>
        </row>
        <row r="74">
          <cell r="D74" t="str">
            <v>Cha-Can</v>
          </cell>
          <cell r="G74">
            <v>76.650000000000006</v>
          </cell>
          <cell r="H74">
            <v>304</v>
          </cell>
        </row>
        <row r="75">
          <cell r="D75" t="str">
            <v>Cha-Frn2</v>
          </cell>
          <cell r="G75">
            <v>15</v>
          </cell>
          <cell r="H75">
            <v>304</v>
          </cell>
        </row>
        <row r="76">
          <cell r="D76" t="str">
            <v>BoqIII Transfo 1</v>
          </cell>
          <cell r="G76">
            <v>0</v>
          </cell>
          <cell r="H76">
            <v>83.3</v>
          </cell>
        </row>
        <row r="77">
          <cell r="D77" t="str">
            <v>BoqIII Transfo 2</v>
          </cell>
          <cell r="G77">
            <v>0</v>
          </cell>
          <cell r="H77">
            <v>83.3</v>
          </cell>
        </row>
        <row r="78">
          <cell r="D78" t="str">
            <v>Frn3-Dom</v>
          </cell>
          <cell r="G78">
            <v>17</v>
          </cell>
          <cell r="H78">
            <v>300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od"/>
      <sheetName val="Ram"/>
    </sheetNames>
    <sheetDataSet>
      <sheetData sheetId="0" refreshError="1"/>
      <sheetData sheetId="1" refreshError="1"/>
      <sheetData sheetId="2">
        <row r="5">
          <cell r="D5" t="str">
            <v>Pan-PanII</v>
          </cell>
          <cell r="G5">
            <v>12.94</v>
          </cell>
          <cell r="H5">
            <v>350</v>
          </cell>
        </row>
        <row r="6">
          <cell r="D6" t="str">
            <v>Pan-PanII</v>
          </cell>
          <cell r="G6">
            <v>12.94</v>
          </cell>
          <cell r="H6">
            <v>350</v>
          </cell>
        </row>
        <row r="7">
          <cell r="D7" t="str">
            <v>Pan-Cho</v>
          </cell>
          <cell r="G7">
            <v>39</v>
          </cell>
          <cell r="H7">
            <v>247</v>
          </cell>
        </row>
        <row r="8">
          <cell r="D8" t="str">
            <v>Pan-Cho</v>
          </cell>
          <cell r="G8">
            <v>39</v>
          </cell>
          <cell r="H8">
            <v>247</v>
          </cell>
        </row>
        <row r="9">
          <cell r="D9" t="str">
            <v>Pan-Cac</v>
          </cell>
          <cell r="G9">
            <v>0.8</v>
          </cell>
          <cell r="H9">
            <v>120</v>
          </cell>
        </row>
        <row r="10">
          <cell r="D10" t="str">
            <v>Pan-Cac</v>
          </cell>
          <cell r="G10">
            <v>0.8</v>
          </cell>
          <cell r="H10">
            <v>142</v>
          </cell>
        </row>
        <row r="11">
          <cell r="D11" t="str">
            <v>Pan-Chi</v>
          </cell>
          <cell r="G11">
            <v>22.6</v>
          </cell>
          <cell r="H11">
            <v>93</v>
          </cell>
        </row>
        <row r="12">
          <cell r="D12" t="str">
            <v>Pan-Sma</v>
          </cell>
          <cell r="G12">
            <v>1.4</v>
          </cell>
          <cell r="H12">
            <v>93</v>
          </cell>
        </row>
        <row r="13">
          <cell r="D13" t="str">
            <v>Pan-Cpa</v>
          </cell>
          <cell r="G13">
            <v>39</v>
          </cell>
          <cell r="H13">
            <v>93</v>
          </cell>
        </row>
        <row r="14">
          <cell r="D14" t="str">
            <v>PanII-PanII115</v>
          </cell>
          <cell r="G14">
            <v>0</v>
          </cell>
          <cell r="H14">
            <v>175</v>
          </cell>
        </row>
        <row r="15">
          <cell r="D15" t="str">
            <v>PanII-Pac</v>
          </cell>
          <cell r="G15">
            <v>19</v>
          </cell>
          <cell r="H15">
            <v>186</v>
          </cell>
        </row>
        <row r="16">
          <cell r="D16" t="str">
            <v>PanII-Eco</v>
          </cell>
          <cell r="G16">
            <v>135</v>
          </cell>
          <cell r="H16">
            <v>275</v>
          </cell>
        </row>
        <row r="17">
          <cell r="D17" t="str">
            <v>PanII-Eco</v>
          </cell>
          <cell r="G17">
            <v>135</v>
          </cell>
          <cell r="H17">
            <v>275</v>
          </cell>
        </row>
        <row r="18">
          <cell r="D18" t="str">
            <v>PanII-24Dic</v>
          </cell>
          <cell r="G18">
            <v>9</v>
          </cell>
          <cell r="H18">
            <v>186</v>
          </cell>
        </row>
        <row r="19">
          <cell r="D19" t="str">
            <v>PanII-Sri</v>
          </cell>
          <cell r="G19">
            <v>48</v>
          </cell>
          <cell r="H19">
            <v>200</v>
          </cell>
        </row>
        <row r="20">
          <cell r="D20" t="str">
            <v>PanII-Sri</v>
          </cell>
          <cell r="G20">
            <v>48</v>
          </cell>
          <cell r="H20">
            <v>200</v>
          </cell>
        </row>
        <row r="21">
          <cell r="D21" t="str">
            <v>Cho-Elh</v>
          </cell>
          <cell r="G21">
            <v>82.5</v>
          </cell>
          <cell r="H21">
            <v>247</v>
          </cell>
        </row>
        <row r="22">
          <cell r="D22" t="str">
            <v>Cho-Elh</v>
          </cell>
          <cell r="G22">
            <v>82.5</v>
          </cell>
          <cell r="H22">
            <v>247</v>
          </cell>
        </row>
        <row r="23">
          <cell r="D23" t="str">
            <v>Lsa-Sba</v>
          </cell>
          <cell r="G23">
            <v>70.5</v>
          </cell>
          <cell r="H23">
            <v>275</v>
          </cell>
        </row>
        <row r="24">
          <cell r="D24" t="str">
            <v>Lsa-Sba</v>
          </cell>
          <cell r="G24">
            <v>70.5</v>
          </cell>
          <cell r="H24">
            <v>275</v>
          </cell>
        </row>
        <row r="25">
          <cell r="D25" t="str">
            <v>Lsa-Vel</v>
          </cell>
          <cell r="G25">
            <v>109.36</v>
          </cell>
          <cell r="H25">
            <v>247</v>
          </cell>
        </row>
        <row r="26">
          <cell r="D26" t="str">
            <v>Lsa-Bbl</v>
          </cell>
          <cell r="G26">
            <v>100.73</v>
          </cell>
          <cell r="H26">
            <v>247</v>
          </cell>
        </row>
        <row r="27">
          <cell r="D27" t="str">
            <v>Lsa-Elh</v>
          </cell>
          <cell r="G27">
            <v>59.7</v>
          </cell>
          <cell r="H27">
            <v>247</v>
          </cell>
        </row>
        <row r="28">
          <cell r="D28" t="str">
            <v>Lsa-Elh</v>
          </cell>
          <cell r="G28">
            <v>59.7</v>
          </cell>
          <cell r="H28">
            <v>247</v>
          </cell>
        </row>
        <row r="29">
          <cell r="D29" t="str">
            <v>Lsa-Eco</v>
          </cell>
          <cell r="G29">
            <v>60</v>
          </cell>
          <cell r="H29">
            <v>275</v>
          </cell>
        </row>
        <row r="30">
          <cell r="D30" t="str">
            <v>Lsa-Eco</v>
          </cell>
          <cell r="G30">
            <v>60</v>
          </cell>
          <cell r="H30">
            <v>275</v>
          </cell>
        </row>
        <row r="31">
          <cell r="D31" t="str">
            <v>Lsa Transfo</v>
          </cell>
          <cell r="G31">
            <v>0</v>
          </cell>
          <cell r="H31">
            <v>70</v>
          </cell>
        </row>
        <row r="32">
          <cell r="D32" t="str">
            <v>Lsa Transfo</v>
          </cell>
          <cell r="G32">
            <v>0</v>
          </cell>
          <cell r="H32">
            <v>70</v>
          </cell>
        </row>
        <row r="33">
          <cell r="D33" t="str">
            <v>Lsa Transfo</v>
          </cell>
          <cell r="G33">
            <v>0</v>
          </cell>
          <cell r="H33">
            <v>70</v>
          </cell>
        </row>
        <row r="34">
          <cell r="D34" t="str">
            <v>Mdn-Pro</v>
          </cell>
          <cell r="G34">
            <v>54</v>
          </cell>
          <cell r="H34">
            <v>400</v>
          </cell>
        </row>
        <row r="35">
          <cell r="D35" t="str">
            <v>Mdn-For</v>
          </cell>
          <cell r="G35">
            <v>37.5</v>
          </cell>
          <cell r="H35">
            <v>193</v>
          </cell>
        </row>
        <row r="36">
          <cell r="D36" t="str">
            <v>Mdn-For</v>
          </cell>
          <cell r="G36">
            <v>37.5</v>
          </cell>
          <cell r="H36">
            <v>193</v>
          </cell>
        </row>
        <row r="37">
          <cell r="D37" t="str">
            <v>Mdn-Vel</v>
          </cell>
          <cell r="G37">
            <v>84.49</v>
          </cell>
          <cell r="H37">
            <v>350</v>
          </cell>
        </row>
        <row r="38">
          <cell r="D38" t="str">
            <v>Mdn-Vel</v>
          </cell>
          <cell r="G38">
            <v>84.49</v>
          </cell>
          <cell r="H38">
            <v>350</v>
          </cell>
        </row>
        <row r="39">
          <cell r="D39" t="str">
            <v>Mdn-BoqIII</v>
          </cell>
          <cell r="G39">
            <v>27</v>
          </cell>
          <cell r="H39">
            <v>400</v>
          </cell>
        </row>
        <row r="40">
          <cell r="D40" t="str">
            <v>Mdn Tranfo</v>
          </cell>
          <cell r="G40">
            <v>0</v>
          </cell>
          <cell r="H40">
            <v>70</v>
          </cell>
        </row>
        <row r="41">
          <cell r="D41" t="str">
            <v>Mdn-Cal</v>
          </cell>
          <cell r="G41">
            <v>25</v>
          </cell>
          <cell r="H41">
            <v>93</v>
          </cell>
        </row>
        <row r="42">
          <cell r="D42" t="str">
            <v>Mdn-Cal</v>
          </cell>
          <cell r="G42">
            <v>25</v>
          </cell>
          <cell r="H42">
            <v>93</v>
          </cell>
        </row>
        <row r="43">
          <cell r="D43" t="str">
            <v>Mdn Tranfo</v>
          </cell>
          <cell r="G43">
            <v>0</v>
          </cell>
          <cell r="H43">
            <v>70</v>
          </cell>
        </row>
        <row r="44">
          <cell r="D44" t="str">
            <v>Mdn Tranfo</v>
          </cell>
          <cell r="G44">
            <v>0</v>
          </cell>
          <cell r="H44">
            <v>70</v>
          </cell>
        </row>
        <row r="45">
          <cell r="D45" t="str">
            <v>Pro-BoqIII</v>
          </cell>
          <cell r="G45">
            <v>27</v>
          </cell>
          <cell r="H45">
            <v>400</v>
          </cell>
        </row>
        <row r="46">
          <cell r="D46" t="str">
            <v>Cac-Sma</v>
          </cell>
          <cell r="G46">
            <v>1</v>
          </cell>
          <cell r="H46">
            <v>97</v>
          </cell>
        </row>
        <row r="47">
          <cell r="D47" t="str">
            <v>Cac-Sri</v>
          </cell>
          <cell r="G47">
            <v>46.6</v>
          </cell>
          <cell r="H47">
            <v>150</v>
          </cell>
        </row>
        <row r="48">
          <cell r="D48" t="str">
            <v>Cac-Sri</v>
          </cell>
          <cell r="G48">
            <v>46.6</v>
          </cell>
          <cell r="H48">
            <v>150</v>
          </cell>
        </row>
        <row r="49">
          <cell r="D49" t="str">
            <v>Chi-LM2</v>
          </cell>
          <cell r="G49">
            <v>31.5</v>
          </cell>
          <cell r="H49">
            <v>93</v>
          </cell>
        </row>
        <row r="50">
          <cell r="D50" t="str">
            <v>LM1-LMD</v>
          </cell>
          <cell r="G50">
            <v>0.25</v>
          </cell>
          <cell r="H50">
            <v>90.6</v>
          </cell>
        </row>
        <row r="51">
          <cell r="D51" t="str">
            <v>LM1-Sri</v>
          </cell>
          <cell r="G51">
            <v>6.2</v>
          </cell>
          <cell r="H51">
            <v>150</v>
          </cell>
        </row>
        <row r="52">
          <cell r="D52" t="str">
            <v>LM1-Cat</v>
          </cell>
          <cell r="G52">
            <v>7.4999999999999997E-2</v>
          </cell>
          <cell r="H52">
            <v>258.94</v>
          </cell>
        </row>
        <row r="53">
          <cell r="D53" t="str">
            <v>LM1-CatII</v>
          </cell>
          <cell r="G53">
            <v>0.8</v>
          </cell>
          <cell r="H53">
            <v>150</v>
          </cell>
        </row>
        <row r="54">
          <cell r="D54" t="str">
            <v>LM2-LMD</v>
          </cell>
          <cell r="G54">
            <v>0.25</v>
          </cell>
          <cell r="H54">
            <v>90.6</v>
          </cell>
        </row>
        <row r="55">
          <cell r="D55" t="str">
            <v>LM2-Cpa</v>
          </cell>
          <cell r="G55">
            <v>15</v>
          </cell>
          <cell r="H55">
            <v>93</v>
          </cell>
        </row>
        <row r="56">
          <cell r="D56" t="str">
            <v>LM2-Cat</v>
          </cell>
          <cell r="G56">
            <v>7.4999999999999997E-2</v>
          </cell>
          <cell r="H56">
            <v>258.94</v>
          </cell>
        </row>
        <row r="57">
          <cell r="D57" t="str">
            <v>Cal-Les</v>
          </cell>
          <cell r="G57">
            <v>5.8</v>
          </cell>
          <cell r="H57">
            <v>93</v>
          </cell>
        </row>
        <row r="58">
          <cell r="D58" t="str">
            <v>Cal-Lva</v>
          </cell>
          <cell r="G58">
            <v>2</v>
          </cell>
          <cell r="H58">
            <v>93</v>
          </cell>
        </row>
        <row r="59">
          <cell r="D59" t="str">
            <v>Cal Transfo</v>
          </cell>
          <cell r="G59">
            <v>0</v>
          </cell>
          <cell r="H59">
            <v>62.5</v>
          </cell>
        </row>
        <row r="60">
          <cell r="D60" t="str">
            <v>For-Gua</v>
          </cell>
          <cell r="G60">
            <v>16</v>
          </cell>
          <cell r="H60">
            <v>276</v>
          </cell>
        </row>
        <row r="61">
          <cell r="D61" t="str">
            <v>For-Esp</v>
          </cell>
          <cell r="G61">
            <v>97.55</v>
          </cell>
          <cell r="H61">
            <v>304</v>
          </cell>
        </row>
        <row r="62">
          <cell r="D62" t="str">
            <v>Bay-Pac</v>
          </cell>
          <cell r="G62">
            <v>49.14</v>
          </cell>
          <cell r="H62">
            <v>186</v>
          </cell>
        </row>
        <row r="63">
          <cell r="D63" t="str">
            <v>Bay-24Dic</v>
          </cell>
          <cell r="G63">
            <v>58.4</v>
          </cell>
          <cell r="H63">
            <v>186</v>
          </cell>
        </row>
        <row r="64">
          <cell r="D64" t="str">
            <v>Sri-CatII</v>
          </cell>
          <cell r="G64">
            <v>6.2</v>
          </cell>
          <cell r="H64">
            <v>150</v>
          </cell>
        </row>
        <row r="65">
          <cell r="D65" t="str">
            <v>Gua-Vel</v>
          </cell>
          <cell r="G65">
            <v>84.3</v>
          </cell>
          <cell r="H65">
            <v>275</v>
          </cell>
        </row>
        <row r="66">
          <cell r="D66" t="str">
            <v>Gua-Vel</v>
          </cell>
          <cell r="G66">
            <v>84.3</v>
          </cell>
          <cell r="H66">
            <v>275</v>
          </cell>
        </row>
        <row r="67">
          <cell r="D67" t="str">
            <v>Gua-Can</v>
          </cell>
          <cell r="G67">
            <v>44</v>
          </cell>
          <cell r="H67">
            <v>276</v>
          </cell>
        </row>
        <row r="68">
          <cell r="D68" t="str">
            <v>Vel-Dom</v>
          </cell>
          <cell r="G68">
            <v>133</v>
          </cell>
          <cell r="H68">
            <v>300</v>
          </cell>
        </row>
        <row r="69">
          <cell r="D69" t="str">
            <v>Vel-Sba</v>
          </cell>
          <cell r="G69">
            <v>39.57</v>
          </cell>
          <cell r="H69">
            <v>275</v>
          </cell>
        </row>
        <row r="70">
          <cell r="D70" t="str">
            <v>Vel-Sba</v>
          </cell>
          <cell r="G70">
            <v>39.57</v>
          </cell>
          <cell r="H70">
            <v>275</v>
          </cell>
        </row>
        <row r="71">
          <cell r="D71" t="str">
            <v>Vel-Bbl</v>
          </cell>
          <cell r="G71">
            <v>8.64</v>
          </cell>
          <cell r="H71">
            <v>247</v>
          </cell>
        </row>
        <row r="72">
          <cell r="D72" t="str">
            <v>Cha Transfo</v>
          </cell>
          <cell r="G72">
            <v>0</v>
          </cell>
          <cell r="H72">
            <v>50</v>
          </cell>
        </row>
        <row r="73">
          <cell r="D73" t="str">
            <v>Cha-Esp</v>
          </cell>
          <cell r="G73">
            <v>24.11</v>
          </cell>
          <cell r="H73">
            <v>304</v>
          </cell>
        </row>
        <row r="74">
          <cell r="D74" t="str">
            <v>Cha-Can</v>
          </cell>
          <cell r="G74">
            <v>76.650000000000006</v>
          </cell>
          <cell r="H74">
            <v>304</v>
          </cell>
        </row>
        <row r="75">
          <cell r="D75" t="str">
            <v>Cha-Frn2</v>
          </cell>
          <cell r="G75">
            <v>15</v>
          </cell>
          <cell r="H75">
            <v>304</v>
          </cell>
        </row>
        <row r="76">
          <cell r="D76" t="str">
            <v>BoqIII Transfo 1</v>
          </cell>
          <cell r="G76">
            <v>0</v>
          </cell>
          <cell r="H76">
            <v>83.3</v>
          </cell>
        </row>
        <row r="77">
          <cell r="D77" t="str">
            <v>BoqIII Transfo 2</v>
          </cell>
          <cell r="G77">
            <v>0</v>
          </cell>
          <cell r="H77">
            <v>83.3</v>
          </cell>
        </row>
        <row r="78">
          <cell r="D78" t="str">
            <v>Frn3-Dom</v>
          </cell>
          <cell r="G78">
            <v>17</v>
          </cell>
          <cell r="H78">
            <v>300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od"/>
      <sheetName val="Ram"/>
    </sheetNames>
    <sheetDataSet>
      <sheetData sheetId="0" refreshError="1"/>
      <sheetData sheetId="1" refreshError="1"/>
      <sheetData sheetId="2">
        <row r="4">
          <cell r="D4" t="str">
            <v>Pan-PanII</v>
          </cell>
          <cell r="G4">
            <v>12.94</v>
          </cell>
          <cell r="H4">
            <v>350</v>
          </cell>
        </row>
        <row r="5">
          <cell r="D5" t="str">
            <v>Pan-Cho</v>
          </cell>
          <cell r="G5">
            <v>39</v>
          </cell>
          <cell r="H5">
            <v>247</v>
          </cell>
        </row>
        <row r="6">
          <cell r="D6" t="str">
            <v>Pan-Cho</v>
          </cell>
          <cell r="G6">
            <v>39</v>
          </cell>
          <cell r="H6">
            <v>247</v>
          </cell>
        </row>
        <row r="7">
          <cell r="D7" t="str">
            <v>Pan-Cac</v>
          </cell>
          <cell r="G7">
            <v>0.8</v>
          </cell>
          <cell r="H7">
            <v>120</v>
          </cell>
        </row>
        <row r="8">
          <cell r="D8" t="str">
            <v>Pan-Cac</v>
          </cell>
          <cell r="G8">
            <v>0.8</v>
          </cell>
          <cell r="H8">
            <v>142</v>
          </cell>
        </row>
        <row r="9">
          <cell r="D9" t="str">
            <v>Pan-Chi</v>
          </cell>
          <cell r="G9">
            <v>22.6</v>
          </cell>
          <cell r="H9">
            <v>93</v>
          </cell>
        </row>
        <row r="10">
          <cell r="D10" t="str">
            <v>Pan-Sma</v>
          </cell>
          <cell r="G10">
            <v>1.4</v>
          </cell>
          <cell r="H10">
            <v>93</v>
          </cell>
        </row>
        <row r="11">
          <cell r="D11" t="str">
            <v>Pan-Cpa</v>
          </cell>
          <cell r="G11">
            <v>39</v>
          </cell>
          <cell r="H11">
            <v>93</v>
          </cell>
        </row>
        <row r="12">
          <cell r="D12" t="str">
            <v>PanII-Pac</v>
          </cell>
          <cell r="G12">
            <v>19</v>
          </cell>
          <cell r="H12">
            <v>186</v>
          </cell>
        </row>
        <row r="13">
          <cell r="D13" t="str">
            <v>PanII-Eco</v>
          </cell>
          <cell r="G13">
            <v>135</v>
          </cell>
          <cell r="H13">
            <v>275</v>
          </cell>
        </row>
        <row r="14">
          <cell r="D14" t="str">
            <v>PanII-Eco</v>
          </cell>
          <cell r="G14">
            <v>135</v>
          </cell>
          <cell r="H14">
            <v>275</v>
          </cell>
        </row>
        <row r="15">
          <cell r="D15" t="str">
            <v>PanII-24Dic</v>
          </cell>
          <cell r="G15">
            <v>9</v>
          </cell>
          <cell r="H15">
            <v>186</v>
          </cell>
        </row>
        <row r="16">
          <cell r="D16" t="str">
            <v>PanII-Sri</v>
          </cell>
          <cell r="G16">
            <v>48</v>
          </cell>
          <cell r="H16">
            <v>200</v>
          </cell>
        </row>
        <row r="17">
          <cell r="D17" t="str">
            <v>PanII-Sri</v>
          </cell>
          <cell r="G17">
            <v>48</v>
          </cell>
          <cell r="H17">
            <v>200</v>
          </cell>
        </row>
        <row r="18">
          <cell r="D18" t="str">
            <v>Cho-Lsa</v>
          </cell>
          <cell r="G18">
            <v>142.19</v>
          </cell>
          <cell r="H18">
            <v>247</v>
          </cell>
        </row>
        <row r="19">
          <cell r="D19" t="str">
            <v>Cho-Pam</v>
          </cell>
          <cell r="G19">
            <v>0.6</v>
          </cell>
          <cell r="H19">
            <v>193</v>
          </cell>
        </row>
        <row r="20">
          <cell r="D20" t="str">
            <v>Cho-Elh</v>
          </cell>
          <cell r="G20">
            <v>82.5</v>
          </cell>
          <cell r="H20">
            <v>247</v>
          </cell>
        </row>
        <row r="21">
          <cell r="D21" t="str">
            <v>Lsa-Vel</v>
          </cell>
          <cell r="G21">
            <v>110.07</v>
          </cell>
          <cell r="H21">
            <v>275</v>
          </cell>
        </row>
        <row r="22">
          <cell r="D22" t="str">
            <v>Lsa-Vel</v>
          </cell>
          <cell r="G22">
            <v>110.07</v>
          </cell>
          <cell r="H22">
            <v>275</v>
          </cell>
        </row>
        <row r="23">
          <cell r="D23" t="str">
            <v>Lsa-Vel</v>
          </cell>
          <cell r="G23">
            <v>109.36</v>
          </cell>
          <cell r="H23">
            <v>247</v>
          </cell>
        </row>
        <row r="24">
          <cell r="D24" t="str">
            <v>Lsa-Vel</v>
          </cell>
          <cell r="G24">
            <v>109.36</v>
          </cell>
          <cell r="H24">
            <v>247</v>
          </cell>
        </row>
        <row r="25">
          <cell r="D25" t="str">
            <v>Lsa-Elh</v>
          </cell>
          <cell r="G25">
            <v>59.7</v>
          </cell>
          <cell r="H25">
            <v>247</v>
          </cell>
        </row>
        <row r="26">
          <cell r="D26" t="str">
            <v>Lsa-Eco</v>
          </cell>
          <cell r="G26">
            <v>60</v>
          </cell>
          <cell r="H26">
            <v>275</v>
          </cell>
        </row>
        <row r="27">
          <cell r="D27" t="str">
            <v>Lsa-Eco</v>
          </cell>
          <cell r="G27">
            <v>60</v>
          </cell>
          <cell r="H27">
            <v>275</v>
          </cell>
        </row>
        <row r="28">
          <cell r="D28" t="str">
            <v>Mdn-For</v>
          </cell>
          <cell r="G28">
            <v>37.5</v>
          </cell>
          <cell r="H28">
            <v>193</v>
          </cell>
        </row>
        <row r="29">
          <cell r="D29" t="str">
            <v>Mdn-For</v>
          </cell>
          <cell r="G29">
            <v>37.5</v>
          </cell>
          <cell r="H29">
            <v>193</v>
          </cell>
        </row>
        <row r="30">
          <cell r="D30" t="str">
            <v>Mdn-Vel</v>
          </cell>
          <cell r="G30">
            <v>84.49</v>
          </cell>
          <cell r="H30">
            <v>350</v>
          </cell>
        </row>
        <row r="31">
          <cell r="D31" t="str">
            <v>Mdn-Vel</v>
          </cell>
          <cell r="G31">
            <v>84.49</v>
          </cell>
          <cell r="H31">
            <v>350</v>
          </cell>
        </row>
        <row r="32">
          <cell r="D32" t="str">
            <v>Mdn-BoqIII</v>
          </cell>
          <cell r="G32">
            <v>27</v>
          </cell>
          <cell r="H32">
            <v>193</v>
          </cell>
        </row>
        <row r="33">
          <cell r="D33" t="str">
            <v>Mdn-Cal</v>
          </cell>
          <cell r="G33">
            <v>25</v>
          </cell>
          <cell r="H33">
            <v>93</v>
          </cell>
        </row>
        <row r="34">
          <cell r="D34" t="str">
            <v>Mdn-Cal</v>
          </cell>
          <cell r="G34">
            <v>25</v>
          </cell>
          <cell r="H34">
            <v>93</v>
          </cell>
        </row>
        <row r="35">
          <cell r="D35" t="str">
            <v>Pro-Bai</v>
          </cell>
          <cell r="G35">
            <v>29</v>
          </cell>
          <cell r="H35">
            <v>193</v>
          </cell>
        </row>
        <row r="36">
          <cell r="D36" t="str">
            <v>Pro-Bai</v>
          </cell>
          <cell r="G36">
            <v>29</v>
          </cell>
          <cell r="H36">
            <v>193</v>
          </cell>
        </row>
        <row r="37">
          <cell r="D37" t="str">
            <v>Pro-BoqIII</v>
          </cell>
          <cell r="G37">
            <v>27</v>
          </cell>
          <cell r="H37">
            <v>193</v>
          </cell>
        </row>
        <row r="38">
          <cell r="D38" t="str">
            <v>Cac-MirA</v>
          </cell>
          <cell r="G38">
            <v>9</v>
          </cell>
          <cell r="H38">
            <v>100</v>
          </cell>
        </row>
        <row r="39">
          <cell r="D39" t="str">
            <v>Cac-Sri</v>
          </cell>
          <cell r="G39">
            <v>46.6</v>
          </cell>
          <cell r="H39">
            <v>150</v>
          </cell>
        </row>
        <row r="40">
          <cell r="D40" t="str">
            <v>Cac-Sri</v>
          </cell>
          <cell r="G40">
            <v>46.6</v>
          </cell>
          <cell r="H40">
            <v>150</v>
          </cell>
        </row>
        <row r="41">
          <cell r="D41" t="str">
            <v>Chi-LM2</v>
          </cell>
          <cell r="G41">
            <v>31.5</v>
          </cell>
          <cell r="H41">
            <v>93</v>
          </cell>
        </row>
        <row r="42">
          <cell r="D42" t="str">
            <v>Sma-MirB</v>
          </cell>
          <cell r="G42">
            <v>9.8000000000000007</v>
          </cell>
          <cell r="H42">
            <v>97</v>
          </cell>
        </row>
        <row r="43">
          <cell r="D43" t="str">
            <v>LM1-Frf</v>
          </cell>
          <cell r="G43">
            <v>9.1</v>
          </cell>
          <cell r="H43">
            <v>93</v>
          </cell>
        </row>
        <row r="44">
          <cell r="D44" t="str">
            <v>LM1-Frf</v>
          </cell>
          <cell r="G44">
            <v>9.1</v>
          </cell>
          <cell r="H44">
            <v>93</v>
          </cell>
        </row>
        <row r="45">
          <cell r="D45" t="str">
            <v>LM1-LMD</v>
          </cell>
          <cell r="G45">
            <v>0.25</v>
          </cell>
          <cell r="H45">
            <v>90.6</v>
          </cell>
        </row>
        <row r="46">
          <cell r="D46" t="str">
            <v>LM1-Sri</v>
          </cell>
          <cell r="G46">
            <v>6.2</v>
          </cell>
          <cell r="H46">
            <v>150</v>
          </cell>
        </row>
        <row r="47">
          <cell r="D47" t="str">
            <v>LM1-Cat</v>
          </cell>
          <cell r="G47">
            <v>7.4999999999999997E-2</v>
          </cell>
          <cell r="H47">
            <v>258.94</v>
          </cell>
        </row>
        <row r="48">
          <cell r="D48" t="str">
            <v>LM1-CatII</v>
          </cell>
          <cell r="G48">
            <v>0.8</v>
          </cell>
          <cell r="H48">
            <v>150</v>
          </cell>
        </row>
        <row r="49">
          <cell r="D49" t="str">
            <v>LM2-LMD</v>
          </cell>
          <cell r="G49">
            <v>0.25</v>
          </cell>
          <cell r="H49">
            <v>90.6</v>
          </cell>
        </row>
        <row r="50">
          <cell r="D50" t="str">
            <v>LM2-Cpa</v>
          </cell>
          <cell r="G50">
            <v>15</v>
          </cell>
          <cell r="H50">
            <v>93</v>
          </cell>
        </row>
        <row r="51">
          <cell r="D51" t="str">
            <v>LM2-Cat</v>
          </cell>
          <cell r="G51">
            <v>7.4999999999999997E-2</v>
          </cell>
          <cell r="H51">
            <v>258.94</v>
          </cell>
        </row>
        <row r="52">
          <cell r="D52" t="str">
            <v>Cal-Les</v>
          </cell>
          <cell r="G52">
            <v>5.8</v>
          </cell>
          <cell r="H52">
            <v>93</v>
          </cell>
        </row>
        <row r="53">
          <cell r="D53" t="str">
            <v>Cal-Lva</v>
          </cell>
          <cell r="G53">
            <v>2</v>
          </cell>
          <cell r="H53">
            <v>93</v>
          </cell>
        </row>
        <row r="54">
          <cell r="D54" t="str">
            <v>For-Gua</v>
          </cell>
          <cell r="G54">
            <v>16</v>
          </cell>
          <cell r="H54">
            <v>276</v>
          </cell>
        </row>
        <row r="55">
          <cell r="D55" t="str">
            <v>For-Esp</v>
          </cell>
          <cell r="G55">
            <v>97.55</v>
          </cell>
          <cell r="H55">
            <v>304</v>
          </cell>
        </row>
        <row r="56">
          <cell r="D56" t="str">
            <v>Bay-Pac</v>
          </cell>
          <cell r="G56">
            <v>49.14</v>
          </cell>
          <cell r="H56">
            <v>186</v>
          </cell>
        </row>
        <row r="57">
          <cell r="D57" t="str">
            <v>Bay-24Dic</v>
          </cell>
          <cell r="G57">
            <v>58.4</v>
          </cell>
          <cell r="H57">
            <v>186</v>
          </cell>
        </row>
        <row r="58">
          <cell r="D58" t="str">
            <v>Cpa-Gir</v>
          </cell>
          <cell r="G58">
            <v>2.2999999999999998</v>
          </cell>
          <cell r="H58">
            <v>159</v>
          </cell>
        </row>
        <row r="59">
          <cell r="D59" t="str">
            <v>Sri-CatII</v>
          </cell>
          <cell r="G59">
            <v>6.2</v>
          </cell>
          <cell r="H59">
            <v>150</v>
          </cell>
        </row>
        <row r="60">
          <cell r="D60" t="str">
            <v>Est-Gua</v>
          </cell>
          <cell r="G60">
            <v>0.5</v>
          </cell>
          <cell r="H60">
            <v>193</v>
          </cell>
        </row>
        <row r="61">
          <cell r="D61" t="str">
            <v>Gua-Vel</v>
          </cell>
          <cell r="G61">
            <v>84.3</v>
          </cell>
          <cell r="H61">
            <v>275</v>
          </cell>
        </row>
        <row r="62">
          <cell r="D62" t="str">
            <v>Gua-Vel</v>
          </cell>
          <cell r="G62">
            <v>84.3</v>
          </cell>
          <cell r="H62">
            <v>275</v>
          </cell>
        </row>
        <row r="63">
          <cell r="D63" t="str">
            <v>Gua-Can</v>
          </cell>
          <cell r="G63">
            <v>44</v>
          </cell>
          <cell r="H63">
            <v>276</v>
          </cell>
        </row>
        <row r="64">
          <cell r="D64" t="str">
            <v>Gua-Gla</v>
          </cell>
          <cell r="G64">
            <v>6</v>
          </cell>
          <cell r="H64">
            <v>131</v>
          </cell>
        </row>
        <row r="65">
          <cell r="D65" t="str">
            <v>Vel-Dom</v>
          </cell>
          <cell r="G65">
            <v>133</v>
          </cell>
          <cell r="H65">
            <v>300</v>
          </cell>
        </row>
        <row r="66">
          <cell r="D66" t="str">
            <v>Cha-Esp</v>
          </cell>
          <cell r="G66">
            <v>24.11</v>
          </cell>
          <cell r="H66">
            <v>304</v>
          </cell>
        </row>
        <row r="67">
          <cell r="D67" t="str">
            <v>Cha-Can</v>
          </cell>
          <cell r="G67">
            <v>76.650000000000006</v>
          </cell>
          <cell r="H67">
            <v>304</v>
          </cell>
        </row>
        <row r="68">
          <cell r="D68" t="str">
            <v>Cha-Frn2</v>
          </cell>
          <cell r="G68">
            <v>15</v>
          </cell>
          <cell r="H68">
            <v>304</v>
          </cell>
        </row>
        <row r="69">
          <cell r="D69" t="str">
            <v>Bai-Bam</v>
          </cell>
          <cell r="G69">
            <v>8.8699999999999992</v>
          </cell>
          <cell r="H69">
            <v>93</v>
          </cell>
        </row>
        <row r="70">
          <cell r="D70" t="str">
            <v>Bam-San</v>
          </cell>
          <cell r="G70">
            <v>1.8</v>
          </cell>
          <cell r="H70">
            <v>93</v>
          </cell>
        </row>
        <row r="71">
          <cell r="D71" t="str">
            <v>Gla-Zam</v>
          </cell>
          <cell r="G71">
            <v>8</v>
          </cell>
          <cell r="H71">
            <v>131</v>
          </cell>
        </row>
        <row r="72">
          <cell r="D72" t="str">
            <v>Zam-Eva</v>
          </cell>
          <cell r="G72">
            <v>7</v>
          </cell>
          <cell r="H72">
            <v>131</v>
          </cell>
        </row>
        <row r="73">
          <cell r="D73" t="str">
            <v>Frn3-Dom</v>
          </cell>
          <cell r="G73">
            <v>17</v>
          </cell>
          <cell r="H73">
            <v>300</v>
          </cell>
        </row>
        <row r="74">
          <cell r="D74" t="str">
            <v>Dom-Pdo</v>
          </cell>
          <cell r="G74">
            <v>17.5</v>
          </cell>
          <cell r="H74">
            <v>374</v>
          </cell>
        </row>
        <row r="75">
          <cell r="D75" t="str">
            <v>Dom-Mli</v>
          </cell>
          <cell r="G75">
            <v>11.7</v>
          </cell>
          <cell r="H75">
            <v>374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 Existente"/>
      <sheetName val="Factor ajuste"/>
      <sheetName val="IMPA Indicativo"/>
      <sheetName val="Sensibilidad"/>
      <sheetName val="Activos Reconocidos"/>
      <sheetName val="Tasa de Depreciación"/>
      <sheetName val="Base de Capital"/>
      <sheetName val="BS01_BS02"/>
      <sheetName val="INVNE_Conex"/>
      <sheetName val="OMT%_ADMT%"/>
      <sheetName val="VNR_Lin"/>
      <sheetName val="VNR_Sub"/>
      <sheetName val="AdicionesVNR_actualiz"/>
      <sheetName val="servidumbres"/>
      <sheetName val="Plan de Expansión"/>
      <sheetName val="Comparacion_adiciones"/>
      <sheetName val="Adiciones"/>
      <sheetName val="Sabanitas_PanamaIII"/>
      <sheetName val="Base ETESA"/>
      <sheetName val="CND"/>
      <sheetName val="CTPR"/>
      <sheetName val="Tercera Línea"/>
      <sheetName val="Bienes e Instalaciones 31_12_20"/>
      <sheetName val="Homologadores"/>
      <sheetName val="CEMIG-GT"/>
      <sheetName val="Transelec"/>
      <sheetName val="ISA REP"/>
      <sheetName val="Ratios comparadoras"/>
      <sheetName val="Cuadro Informe"/>
    </sheetNames>
    <sheetDataSet>
      <sheetData sheetId="0" refreshError="1"/>
      <sheetData sheetId="1">
        <row r="23">
          <cell r="E23">
            <v>0.99665035835410554</v>
          </cell>
          <cell r="F23">
            <v>0.99513655804094725</v>
          </cell>
          <cell r="G23">
            <v>0.99024734720722152</v>
          </cell>
          <cell r="H23">
            <v>0.99991010464201213</v>
          </cell>
        </row>
      </sheetData>
      <sheetData sheetId="2" refreshError="1"/>
      <sheetData sheetId="3" refreshError="1"/>
      <sheetData sheetId="4">
        <row r="57">
          <cell r="C57">
            <v>695640883.62130272</v>
          </cell>
        </row>
      </sheetData>
      <sheetData sheetId="5">
        <row r="28">
          <cell r="F28">
            <v>3.2314329354868353E-2</v>
          </cell>
        </row>
      </sheetData>
      <sheetData sheetId="6" refreshError="1"/>
      <sheetData sheetId="7" refreshError="1"/>
      <sheetData sheetId="8">
        <row r="179">
          <cell r="C179">
            <v>-2286.9242234198659</v>
          </cell>
        </row>
      </sheetData>
      <sheetData sheetId="9">
        <row r="13">
          <cell r="F13">
            <v>8.2319969859183714E-3</v>
          </cell>
        </row>
        <row r="14">
          <cell r="F14">
            <v>1.7463481823484322E-2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24">
          <cell r="E24">
            <v>4050697.5342019377</v>
          </cell>
        </row>
      </sheetData>
      <sheetData sheetId="20">
        <row r="9">
          <cell r="E9">
            <v>-6188.872545107246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-2008Contraloría Historico"/>
      <sheetName val="2001-08Contraloría Estruc. Hist"/>
      <sheetName val="PIB Estructural TRIM 2005-09"/>
      <sheetName val="Pronosticos Publicados 2009-10 "/>
      <sheetName val="PIB Mundial vs Panama"/>
      <sheetName val="PIB 2009 Estimado "/>
      <sheetName val="PIB 2009, tres metodologías (M)"/>
      <sheetName val="PIB Estructural 2009 Esti  (M)"/>
      <sheetName val="Variacion PIB por Act 2001-08"/>
      <sheetName val="Analisis IMAE 2008"/>
      <sheetName val="Analisis IMAE 2008 Anexo"/>
      <sheetName val="PIB Estructural II Trim 2009 "/>
      <sheetName val="Impuestos Netos"/>
      <sheetName val="PIB Estructural III Trim 2008 "/>
      <sheetName val="PIB Estructural III Trim2008Mod"/>
      <sheetName val="Var.  Estructural 2010  Mod"/>
      <sheetName val="PIB Estructural 2010 Estima 09 "/>
      <sheetName val="PIB Estructural 2010 Estima (2)"/>
      <sheetName val="Variacion PIB- Esc. Exp. Canal"/>
      <sheetName val="Tasas PIB INTRACORP"/>
      <sheetName val="Comp.Tasas PIB INTRACORP- Real "/>
      <sheetName val="Tasas PIB INTRACORP (2)"/>
      <sheetName val="Premisas Escenarios"/>
      <sheetName val="Estimacion PIB 2010-2024"/>
      <sheetName val="Pronosticos 2010-24 %"/>
      <sheetName val="Estimacion PIB 2010-2024 (2)"/>
      <sheetName val="Pronosticos 2010-24 % (2)"/>
      <sheetName val="Estimacion PIB 2010-2024 (3)"/>
      <sheetName val="Hoja5"/>
      <sheetName val="Hoja1"/>
      <sheetName val="Pronosticos 2010-24 % (3)"/>
      <sheetName val="Gráfico TASAS 2009-2024"/>
      <sheetName val="Tasas PIB INTRACORP (3)"/>
      <sheetName val="Empalme de Bases 96-82"/>
      <sheetName val="Empalme de Bases 96-82 (2)"/>
      <sheetName val="Hoja2"/>
      <sheetName val="Mat.  Cons.  2002-2006"/>
      <sheetName val="Produccion fisica Man 2002-06"/>
      <sheetName val="Carac.Consumo Sector Ind."/>
      <sheetName val="Evalua Estimado 2006"/>
      <sheetName val="industria-Algunos indicadores"/>
      <sheetName val="PIB MANUFACTURA"/>
      <sheetName val="Est. PIB MANUFACTURA ACP1996Mod"/>
      <sheetName val="Est. PIB MANUFACTURA ACP1996Mo2"/>
      <sheetName val="Est. PIB MANUFACTURA EMPALMEMod"/>
      <sheetName val="Hoja3"/>
    </sheetNames>
    <sheetDataSet>
      <sheetData sheetId="0">
        <row r="13">
          <cell r="D13">
            <v>588.29999999999995</v>
          </cell>
        </row>
      </sheetData>
      <sheetData sheetId="1"/>
      <sheetData sheetId="2">
        <row r="11">
          <cell r="AD11">
            <v>-0.12450884086444014</v>
          </cell>
        </row>
      </sheetData>
      <sheetData sheetId="3">
        <row r="41">
          <cell r="AH41">
            <v>6.5</v>
          </cell>
        </row>
      </sheetData>
      <sheetData sheetId="4"/>
      <sheetData sheetId="5"/>
      <sheetData sheetId="6">
        <row r="7">
          <cell r="AG7">
            <v>2.8234922146866938E-2</v>
          </cell>
        </row>
      </sheetData>
      <sheetData sheetId="7"/>
      <sheetData sheetId="8"/>
      <sheetData sheetId="9"/>
      <sheetData sheetId="10"/>
      <sheetData sheetId="11">
        <row r="12">
          <cell r="L12">
            <v>628.56387938206308</v>
          </cell>
        </row>
      </sheetData>
      <sheetData sheetId="12">
        <row r="27">
          <cell r="N27">
            <v>0.30833039181080124</v>
          </cell>
        </row>
      </sheetData>
      <sheetData sheetId="13">
        <row r="12">
          <cell r="L12">
            <v>3.9071116992456238E-2</v>
          </cell>
        </row>
      </sheetData>
      <sheetData sheetId="14"/>
      <sheetData sheetId="15"/>
      <sheetData sheetId="16">
        <row r="42">
          <cell r="K42">
            <v>20553.983233636332</v>
          </cell>
        </row>
      </sheetData>
      <sheetData sheetId="17">
        <row r="17">
          <cell r="K17">
            <v>1177.7581370070111</v>
          </cell>
        </row>
      </sheetData>
      <sheetData sheetId="18"/>
      <sheetData sheetId="19">
        <row r="19">
          <cell r="F19">
            <v>2.3443464982300322</v>
          </cell>
        </row>
      </sheetData>
      <sheetData sheetId="20"/>
      <sheetData sheetId="21"/>
      <sheetData sheetId="22"/>
      <sheetData sheetId="23">
        <row r="19">
          <cell r="L19">
            <v>1.7827949547141397E-2</v>
          </cell>
        </row>
      </sheetData>
      <sheetData sheetId="24"/>
      <sheetData sheetId="25"/>
      <sheetData sheetId="26"/>
      <sheetData sheetId="27">
        <row r="17">
          <cell r="L17">
            <v>19411.451970000002</v>
          </cell>
        </row>
      </sheetData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io"/>
      <sheetName val="Agosto"/>
      <sheetName val="Septiembre"/>
      <sheetName val="Octubre"/>
      <sheetName val="Noviembre"/>
      <sheetName val="Diciembre"/>
      <sheetName val="Julio-Diciembre"/>
    </sheetNames>
    <sheetDataSet>
      <sheetData sheetId="0" refreshError="1">
        <row r="7">
          <cell r="A7" t="str">
            <v>CARGO POR  CONEXIÓN</v>
          </cell>
        </row>
        <row r="8">
          <cell r="A8" t="str">
            <v>CXS34.5 Barra Sencilla</v>
          </cell>
          <cell r="B8">
            <v>2</v>
          </cell>
          <cell r="C8">
            <v>28.42</v>
          </cell>
          <cell r="D8">
            <v>4736.67</v>
          </cell>
        </row>
        <row r="9">
          <cell r="A9" t="str">
            <v>CXS34.5 Interruptor y Medio</v>
          </cell>
          <cell r="B9">
            <v>6</v>
          </cell>
          <cell r="C9">
            <v>46.46</v>
          </cell>
          <cell r="D9">
            <v>23230</v>
          </cell>
        </row>
        <row r="10">
          <cell r="A10" t="str">
            <v>CXS115 Interruptor y Medio</v>
          </cell>
          <cell r="B10">
            <v>4</v>
          </cell>
          <cell r="C10">
            <v>106.78</v>
          </cell>
          <cell r="D10">
            <v>35593.33</v>
          </cell>
        </row>
        <row r="11">
          <cell r="A11" t="str">
            <v>CXS230 Interruptor y Medio</v>
          </cell>
          <cell r="B11">
            <v>2</v>
          </cell>
          <cell r="C11">
            <v>156.07</v>
          </cell>
          <cell r="D11">
            <v>26011.67</v>
          </cell>
        </row>
        <row r="12">
          <cell r="A12" t="str">
            <v>CXTR Reductor 42/56/70 MVA</v>
          </cell>
          <cell r="B12">
            <v>140</v>
          </cell>
          <cell r="C12">
            <v>4.3600000000000003</v>
          </cell>
          <cell r="D12">
            <v>50866.67</v>
          </cell>
        </row>
        <row r="13">
          <cell r="A13" t="str">
            <v>CXTR Reductor 30/40/50 MVA</v>
          </cell>
          <cell r="B13">
            <v>100</v>
          </cell>
          <cell r="C13">
            <v>4.3499999999999996</v>
          </cell>
          <cell r="D13">
            <v>36250</v>
          </cell>
        </row>
        <row r="14">
          <cell r="A14" t="str">
            <v>CXTR Reductor 60/80/100 MVA</v>
          </cell>
          <cell r="B14">
            <v>0</v>
          </cell>
          <cell r="C14">
            <v>0</v>
          </cell>
          <cell r="D14">
            <v>0</v>
          </cell>
        </row>
        <row r="15">
          <cell r="A15" t="str">
            <v>1 IP - 230  KV</v>
          </cell>
          <cell r="B15">
            <v>1</v>
          </cell>
          <cell r="C15">
            <v>203.63</v>
          </cell>
          <cell r="D15">
            <v>16969.169999999998</v>
          </cell>
        </row>
        <row r="16">
          <cell r="A16" t="str">
            <v xml:space="preserve">CARGO POR  OPERACIÓN INTEGRADA </v>
          </cell>
        </row>
        <row r="17">
          <cell r="A17" t="str">
            <v>EDEMET Agente Consumidor</v>
          </cell>
          <cell r="B17">
            <v>677.91</v>
          </cell>
          <cell r="C17">
            <v>0.25209999999999999</v>
          </cell>
          <cell r="D17">
            <v>170901.11</v>
          </cell>
        </row>
        <row r="20">
          <cell r="A20" t="str">
            <v>ELEKTRA NORESTE, S.A. (ENSA)</v>
          </cell>
        </row>
        <row r="21">
          <cell r="A21" t="str">
            <v>CARGO POR  CONEXIÓN</v>
          </cell>
        </row>
        <row r="22">
          <cell r="A22" t="str">
            <v xml:space="preserve">CARGO POR  OPERACIÓN INTEGRADA </v>
          </cell>
        </row>
        <row r="23">
          <cell r="A23" t="str">
            <v>ELEKTRA_NE (Consumidor)</v>
          </cell>
          <cell r="B23">
            <v>511.98</v>
          </cell>
          <cell r="C23">
            <v>0.25209999999999999</v>
          </cell>
          <cell r="D23">
            <v>129070.16</v>
          </cell>
        </row>
        <row r="27">
          <cell r="A27" t="str">
            <v>CARGO POR  CONEXIÓN</v>
          </cell>
        </row>
        <row r="28">
          <cell r="A28" t="str">
            <v>CXS34.5 Interruptor y Medio</v>
          </cell>
          <cell r="B28">
            <v>8</v>
          </cell>
          <cell r="C28">
            <v>46.46</v>
          </cell>
          <cell r="D28">
            <v>30973.33</v>
          </cell>
        </row>
        <row r="29">
          <cell r="A29" t="str">
            <v>CXS115 Barra Sencilla</v>
          </cell>
          <cell r="B29">
            <v>2</v>
          </cell>
          <cell r="C29">
            <v>73.760000000000005</v>
          </cell>
          <cell r="D29">
            <v>444.58</v>
          </cell>
        </row>
        <row r="30">
          <cell r="A30" t="str">
            <v>CXL 115 KV Circuito Sencillo 636 ACSR</v>
          </cell>
          <cell r="B30">
            <v>0.5</v>
          </cell>
          <cell r="C30">
            <v>10.67</v>
          </cell>
          <cell r="D30">
            <v>12293.33</v>
          </cell>
        </row>
        <row r="31">
          <cell r="A31" t="str">
            <v>CXTR Reductor 20/24 MVA</v>
          </cell>
          <cell r="B31">
            <v>9.5928000000000004</v>
          </cell>
          <cell r="C31">
            <v>4.05</v>
          </cell>
          <cell r="D31">
            <v>3237.57</v>
          </cell>
        </row>
        <row r="32">
          <cell r="A32" t="str">
            <v>CXL 115 KV Circuito Sencillo 636 ACSR</v>
          </cell>
          <cell r="B32">
            <v>3.0960000000000001</v>
          </cell>
          <cell r="C32">
            <v>10.67</v>
          </cell>
          <cell r="D32">
            <v>2752.86</v>
          </cell>
        </row>
        <row r="33">
          <cell r="A33" t="str">
            <v xml:space="preserve">CARGO POR  OPERACIÓN INTEGRADA </v>
          </cell>
        </row>
        <row r="34">
          <cell r="A34" t="str">
            <v>EDECHI Agente Consumidor</v>
          </cell>
          <cell r="B34">
            <v>110.84</v>
          </cell>
          <cell r="C34">
            <v>0.25209999999999999</v>
          </cell>
          <cell r="D34">
            <v>27942.76</v>
          </cell>
        </row>
        <row r="35">
          <cell r="A35" t="str">
            <v xml:space="preserve">   -  Zona 10 (S/E Cañazas)</v>
          </cell>
          <cell r="B35">
            <v>21.5</v>
          </cell>
          <cell r="C35">
            <v>0.25209999999999999</v>
          </cell>
          <cell r="D35">
            <v>5420.15</v>
          </cell>
        </row>
        <row r="40">
          <cell r="A40" t="str">
            <v xml:space="preserve">CARGO POR  OPERACIÓN INTEGRADA </v>
          </cell>
        </row>
        <row r="41">
          <cell r="A41" t="str">
            <v>Fortuna (Generador)</v>
          </cell>
          <cell r="B41">
            <v>300</v>
          </cell>
          <cell r="C41">
            <v>0.1681</v>
          </cell>
          <cell r="D41">
            <v>50430</v>
          </cell>
        </row>
        <row r="45">
          <cell r="A45" t="str">
            <v xml:space="preserve">CARGO POR  CONEXIÓN </v>
          </cell>
          <cell r="B45">
            <v>0</v>
          </cell>
          <cell r="C45" t="str">
            <v xml:space="preserve"> </v>
          </cell>
        </row>
        <row r="46">
          <cell r="A46" t="str">
            <v>CXL 115 KV Circuito Sencillo L/T Caldera-LA ESTRELLA</v>
          </cell>
          <cell r="B46">
            <v>5.8</v>
          </cell>
          <cell r="C46">
            <v>10.67</v>
          </cell>
          <cell r="D46">
            <v>5157.17</v>
          </cell>
        </row>
        <row r="47">
          <cell r="A47" t="str">
            <v>CXL 115 KV Circuito Sencillo L/T Caldera-LOS VALLES</v>
          </cell>
          <cell r="B47">
            <v>2</v>
          </cell>
          <cell r="C47">
            <v>10.67</v>
          </cell>
          <cell r="D47">
            <v>1778.33</v>
          </cell>
        </row>
        <row r="48">
          <cell r="A48" t="str">
            <v xml:space="preserve">CARGO POR  OPERACIÓN INTEGRADA </v>
          </cell>
        </row>
        <row r="49">
          <cell r="A49" t="str">
            <v xml:space="preserve">   AES- Generador</v>
          </cell>
          <cell r="B49">
            <v>481.96</v>
          </cell>
          <cell r="C49">
            <v>0.1681</v>
          </cell>
        </row>
        <row r="50">
          <cell r="A50" t="str">
            <v xml:space="preserve">   AES - CEMENTO PANAMA - Consumidor   (Gran Cliente - CPSA)</v>
          </cell>
          <cell r="B50">
            <v>8.25</v>
          </cell>
          <cell r="C50">
            <v>0.25209999999999999</v>
          </cell>
        </row>
        <row r="51">
          <cell r="A51" t="str">
            <v xml:space="preserve">   AES - BOFCO - Consumidor   (Gran Cliente)</v>
          </cell>
          <cell r="B51">
            <v>13.39</v>
          </cell>
          <cell r="C51">
            <v>0.25209999999999999</v>
          </cell>
        </row>
        <row r="55">
          <cell r="A55" t="str">
            <v xml:space="preserve">CARGO POR  CONEXIÓN </v>
          </cell>
        </row>
        <row r="56">
          <cell r="A56" t="str">
            <v xml:space="preserve">CARGO POR  OPERACIÓN INTEGRADA </v>
          </cell>
        </row>
        <row r="57">
          <cell r="A57" t="str">
            <v>Bahía Las Minas (Generador)</v>
          </cell>
          <cell r="B57">
            <v>280</v>
          </cell>
          <cell r="C57">
            <v>0.1681</v>
          </cell>
          <cell r="D57">
            <v>47068</v>
          </cell>
        </row>
        <row r="61">
          <cell r="A61" t="str">
            <v>CARGO POR  CONEXIÓN</v>
          </cell>
        </row>
        <row r="62">
          <cell r="A62" t="str">
            <v xml:space="preserve">CARGO POR  OPERACIÓN INTEGRADA </v>
          </cell>
        </row>
        <row r="63">
          <cell r="A63" t="str">
            <v>Pan_Am (Generador)</v>
          </cell>
          <cell r="B63">
            <v>96</v>
          </cell>
          <cell r="C63">
            <v>0.1681</v>
          </cell>
          <cell r="D63">
            <v>16137.6</v>
          </cell>
        </row>
        <row r="67">
          <cell r="A67" t="str">
            <v>CARGO POR  CONEXIÓN</v>
          </cell>
        </row>
        <row r="68">
          <cell r="A68" t="str">
            <v xml:space="preserve">CARGO POR  OPERACIÓN INTEGRADA </v>
          </cell>
          <cell r="B68">
            <v>127</v>
          </cell>
          <cell r="C68">
            <v>0.1681</v>
          </cell>
          <cell r="D68">
            <v>21348.7</v>
          </cell>
        </row>
        <row r="71">
          <cell r="A71" t="str">
            <v>PEDREGAL POWER Co. (PEDREGAL)</v>
          </cell>
          <cell r="B71" t="str">
            <v>Cantidad</v>
          </cell>
          <cell r="C71" t="str">
            <v xml:space="preserve">Cargos </v>
          </cell>
        </row>
        <row r="72">
          <cell r="A72" t="str">
            <v>CARGO POR  CONEXIÓN</v>
          </cell>
        </row>
        <row r="73">
          <cell r="A73" t="str">
            <v xml:space="preserve">CARGO POR  OPERACIÓN INTEGRADA </v>
          </cell>
        </row>
        <row r="74">
          <cell r="A74" t="str">
            <v>Pedregal Power Co. (Generador)</v>
          </cell>
          <cell r="B74">
            <v>53.53</v>
          </cell>
          <cell r="C74">
            <v>0.1681</v>
          </cell>
          <cell r="D74">
            <v>8998.39</v>
          </cell>
        </row>
        <row r="77">
          <cell r="A77" t="str">
            <v>EMPRESA DE GENERACIÓN ELÉCTRICA, S.A. (EGESA)</v>
          </cell>
          <cell r="B77" t="str">
            <v>Cantidad</v>
          </cell>
          <cell r="C77" t="str">
            <v xml:space="preserve">Cargos </v>
          </cell>
        </row>
        <row r="78">
          <cell r="A78" t="str">
            <v xml:space="preserve">CARGO POR  CONEXIÓN  </v>
          </cell>
          <cell r="D78">
            <v>0</v>
          </cell>
        </row>
        <row r="79">
          <cell r="A79" t="str">
            <v xml:space="preserve">CARGO POR  OPERACIÓN INTEGRADA </v>
          </cell>
        </row>
        <row r="80">
          <cell r="A80" t="str">
            <v xml:space="preserve">  EGESA (Generador)</v>
          </cell>
          <cell r="B80">
            <v>40</v>
          </cell>
          <cell r="C80">
            <v>0.1681</v>
          </cell>
          <cell r="D80">
            <v>6724</v>
          </cell>
        </row>
        <row r="83">
          <cell r="A83" t="str">
            <v>TERMICA DEL CARIBE, S.A. (TERCARIBE)</v>
          </cell>
          <cell r="B83" t="str">
            <v>Cantidad</v>
          </cell>
          <cell r="C83" t="str">
            <v xml:space="preserve">Cargos </v>
          </cell>
        </row>
        <row r="84">
          <cell r="A84" t="str">
            <v xml:space="preserve">CARGO POR  CONEXIÓN </v>
          </cell>
          <cell r="D84">
            <v>0</v>
          </cell>
        </row>
        <row r="85">
          <cell r="A85" t="str">
            <v xml:space="preserve">CARGO POR  OPERACIÓN INTEGRADA </v>
          </cell>
        </row>
        <row r="86">
          <cell r="A86" t="str">
            <v xml:space="preserve">  TERCARIBE (Generador)</v>
          </cell>
          <cell r="B86">
            <v>50.35</v>
          </cell>
          <cell r="C86">
            <v>0.1681</v>
          </cell>
          <cell r="D86">
            <v>8463.84</v>
          </cell>
        </row>
        <row r="89">
          <cell r="A89" t="str">
            <v>GENERADORA DEL ATLÁNTICO (GENA)</v>
          </cell>
          <cell r="B89" t="str">
            <v>Cantidad</v>
          </cell>
          <cell r="C89" t="str">
            <v xml:space="preserve">Cargos </v>
          </cell>
        </row>
        <row r="90">
          <cell r="A90" t="str">
            <v xml:space="preserve">CARGO POR  CONEXIÓN </v>
          </cell>
          <cell r="D90">
            <v>0</v>
          </cell>
        </row>
        <row r="91">
          <cell r="A91" t="str">
            <v xml:space="preserve">CARGO POR  OPERACIÓN INTEGRADA </v>
          </cell>
        </row>
        <row r="92">
          <cell r="A92" t="str">
            <v xml:space="preserve">  GENA (Generador)</v>
          </cell>
          <cell r="B92">
            <v>150</v>
          </cell>
          <cell r="C92">
            <v>0.1681</v>
          </cell>
          <cell r="D92">
            <v>25215</v>
          </cell>
        </row>
        <row r="95">
          <cell r="A95" t="str">
            <v>CALDERA ENERGY CORP. (MENDRE)</v>
          </cell>
          <cell r="B95" t="str">
            <v>Cantidad</v>
          </cell>
          <cell r="C95" t="str">
            <v xml:space="preserve">Cargos </v>
          </cell>
        </row>
        <row r="96">
          <cell r="A96" t="str">
            <v xml:space="preserve">CARGO POR  CONEXIÓN </v>
          </cell>
          <cell r="D96">
            <v>0</v>
          </cell>
        </row>
        <row r="97">
          <cell r="A97" t="str">
            <v xml:space="preserve">CARGO POR  OPERACIÓN INTEGRADA </v>
          </cell>
        </row>
        <row r="98">
          <cell r="A98" t="str">
            <v xml:space="preserve">  MENDRE (Generador)</v>
          </cell>
          <cell r="B98">
            <v>9.75</v>
          </cell>
          <cell r="C98">
            <v>0.1681</v>
          </cell>
          <cell r="D98">
            <v>1638.98</v>
          </cell>
        </row>
        <row r="101">
          <cell r="A101" t="str">
            <v>AES CHANGUINOLA, S.A. (CHAN I)</v>
          </cell>
          <cell r="B101" t="str">
            <v>Cantidad</v>
          </cell>
          <cell r="C101" t="str">
            <v xml:space="preserve">Cargos </v>
          </cell>
        </row>
        <row r="102">
          <cell r="A102" t="str">
            <v xml:space="preserve">CARGO POR  CONEXIÓN </v>
          </cell>
          <cell r="D102">
            <v>0</v>
          </cell>
        </row>
        <row r="103">
          <cell r="A103" t="str">
            <v xml:space="preserve">CARGO POR  OPERACIÓN INTEGRADA </v>
          </cell>
        </row>
        <row r="104">
          <cell r="A104" t="str">
            <v xml:space="preserve">  CHAN I(Generador)</v>
          </cell>
          <cell r="B104">
            <v>222.58</v>
          </cell>
          <cell r="C104">
            <v>0.1681</v>
          </cell>
          <cell r="D104">
            <v>37415.699999999997</v>
          </cell>
        </row>
        <row r="107">
          <cell r="A107" t="str">
            <v>GENERADORA PEDREGALITO, S.A. (PEDREGALITO I)</v>
          </cell>
          <cell r="B107" t="str">
            <v>Cantidad</v>
          </cell>
          <cell r="C107" t="str">
            <v xml:space="preserve">Cargos </v>
          </cell>
        </row>
        <row r="108">
          <cell r="A108" t="str">
            <v xml:space="preserve">CARGO POR  CONEXIÓN </v>
          </cell>
          <cell r="D108">
            <v>0</v>
          </cell>
        </row>
        <row r="109">
          <cell r="A109" t="str">
            <v xml:space="preserve">CARGO POR  OPERACIÓN INTEGRADA </v>
          </cell>
        </row>
        <row r="110">
          <cell r="A110" t="str">
            <v xml:space="preserve">  PEDREGALITO I (Generador)</v>
          </cell>
          <cell r="B110">
            <v>10</v>
          </cell>
          <cell r="C110">
            <v>0.1681</v>
          </cell>
          <cell r="D110">
            <v>1681</v>
          </cell>
        </row>
        <row r="113">
          <cell r="A113" t="str">
            <v>GENERADORA RIO CHICO, S.A. (PEDREGALITO II)</v>
          </cell>
          <cell r="B113" t="str">
            <v>Cantidad</v>
          </cell>
          <cell r="C113" t="str">
            <v xml:space="preserve">Cargos </v>
          </cell>
        </row>
        <row r="114">
          <cell r="A114" t="str">
            <v xml:space="preserve">CARGO POR  CONEXIÓN </v>
          </cell>
          <cell r="D114">
            <v>0</v>
          </cell>
        </row>
        <row r="115">
          <cell r="A115" t="str">
            <v xml:space="preserve">CARGO POR  OPERACIÓN INTEGRADA </v>
          </cell>
        </row>
        <row r="116">
          <cell r="A116" t="str">
            <v xml:space="preserve">  PEDREGALITO II (Generador)</v>
          </cell>
          <cell r="B116">
            <v>4</v>
          </cell>
          <cell r="C116">
            <v>0.1681</v>
          </cell>
          <cell r="D116">
            <v>672.4</v>
          </cell>
        </row>
        <row r="119">
          <cell r="A119" t="str">
            <v xml:space="preserve">ALTERNEGY, S.A. </v>
          </cell>
          <cell r="B119" t="str">
            <v>Cantidad</v>
          </cell>
          <cell r="C119" t="str">
            <v xml:space="preserve">Cargos </v>
          </cell>
        </row>
        <row r="120">
          <cell r="A120" t="str">
            <v xml:space="preserve">CARGO POR  CONEXIÓN </v>
          </cell>
          <cell r="D120">
            <v>0</v>
          </cell>
        </row>
        <row r="121">
          <cell r="A121" t="str">
            <v xml:space="preserve">CARGO POR  OPERACIÓN INTEGRADA </v>
          </cell>
        </row>
        <row r="122">
          <cell r="A122" t="str">
            <v xml:space="preserve">   -  Zona 9 (S/E Bahía las Minas) Cativá</v>
          </cell>
          <cell r="B122">
            <v>87.2</v>
          </cell>
          <cell r="C122">
            <v>0.1681</v>
          </cell>
          <cell r="D122">
            <v>14658.32</v>
          </cell>
        </row>
        <row r="123">
          <cell r="A123" t="str">
            <v xml:space="preserve">  Lorena (Generador)</v>
          </cell>
          <cell r="B123">
            <v>33.799999999999997</v>
          </cell>
          <cell r="C123">
            <v>0.1681</v>
          </cell>
          <cell r="D123">
            <v>5681.78</v>
          </cell>
        </row>
        <row r="124">
          <cell r="A124" t="str">
            <v xml:space="preserve">  Prudencia (Generador)</v>
          </cell>
          <cell r="B124">
            <v>58.66</v>
          </cell>
          <cell r="C124">
            <v>0.1681</v>
          </cell>
          <cell r="D124">
            <v>9860.75</v>
          </cell>
        </row>
        <row r="127">
          <cell r="A127" t="str">
            <v>BONTEX, S.A. (GUALACA)</v>
          </cell>
          <cell r="B127" t="str">
            <v>Cantidad</v>
          </cell>
          <cell r="C127" t="str">
            <v xml:space="preserve">Cargos </v>
          </cell>
        </row>
        <row r="128">
          <cell r="A128" t="str">
            <v xml:space="preserve">CARGO POR  CONEXIÓN </v>
          </cell>
          <cell r="D128">
            <v>0</v>
          </cell>
        </row>
        <row r="129">
          <cell r="A129" t="str">
            <v xml:space="preserve">CARGO POR  OPERACIÓN INTEGRADA </v>
          </cell>
        </row>
        <row r="130">
          <cell r="A130" t="str">
            <v>BONTEX (Generador)</v>
          </cell>
          <cell r="B130">
            <v>25.34</v>
          </cell>
          <cell r="C130">
            <v>0.1681</v>
          </cell>
          <cell r="D130">
            <v>4259.6499999999996</v>
          </cell>
        </row>
        <row r="133">
          <cell r="A133" t="str">
            <v>IDEAL PANAMA, S.A.</v>
          </cell>
          <cell r="B133" t="str">
            <v>Cantidad</v>
          </cell>
          <cell r="C133" t="str">
            <v xml:space="preserve">Cargos </v>
          </cell>
        </row>
        <row r="134">
          <cell r="A134" t="str">
            <v xml:space="preserve">CARGO POR  CONEXIÓN </v>
          </cell>
          <cell r="D134">
            <v>0</v>
          </cell>
        </row>
        <row r="135">
          <cell r="A135" t="str">
            <v xml:space="preserve">CARGO POR  OPERACIÓN INTEGRADA </v>
          </cell>
        </row>
        <row r="136">
          <cell r="A136" t="str">
            <v xml:space="preserve">  Bajo de Mina (Generador)</v>
          </cell>
          <cell r="B136">
            <v>56.8</v>
          </cell>
          <cell r="C136">
            <v>0.1681</v>
          </cell>
          <cell r="D136">
            <v>9548.08</v>
          </cell>
        </row>
        <row r="137">
          <cell r="A137" t="str">
            <v xml:space="preserve">  Baitún (Generador)</v>
          </cell>
          <cell r="B137">
            <v>85.9</v>
          </cell>
          <cell r="C137">
            <v>0.1681</v>
          </cell>
          <cell r="D137">
            <v>14439.79</v>
          </cell>
        </row>
        <row r="140">
          <cell r="A140" t="str">
            <v>HIDRO PIEDRA, S.A. (RP-490)</v>
          </cell>
          <cell r="B140" t="str">
            <v>Cantidad</v>
          </cell>
          <cell r="C140" t="str">
            <v xml:space="preserve">Cargos </v>
          </cell>
        </row>
        <row r="141">
          <cell r="A141" t="str">
            <v xml:space="preserve">CARGO POR  CONEXIÓN </v>
          </cell>
          <cell r="D141">
            <v>0</v>
          </cell>
        </row>
        <row r="142">
          <cell r="A142" t="str">
            <v xml:space="preserve">CARGO POR  OPERACIÓN INTEGRADA </v>
          </cell>
        </row>
        <row r="143">
          <cell r="A143" t="str">
            <v xml:space="preserve"> RP-490 (Generador)</v>
          </cell>
          <cell r="B143">
            <v>4</v>
          </cell>
          <cell r="C143">
            <v>0.1681</v>
          </cell>
          <cell r="D143">
            <v>672.4</v>
          </cell>
        </row>
        <row r="146">
          <cell r="A146" t="str">
            <v>GENERADORA ALTO VALLE, S.A. (COCHEA)</v>
          </cell>
          <cell r="B146" t="str">
            <v>Cantidad</v>
          </cell>
          <cell r="C146" t="str">
            <v xml:space="preserve">Cargos </v>
          </cell>
        </row>
        <row r="147">
          <cell r="A147" t="str">
            <v xml:space="preserve">CARGO POR  CONEXIÓN </v>
          </cell>
          <cell r="D147">
            <v>0</v>
          </cell>
        </row>
        <row r="148">
          <cell r="A148" t="str">
            <v xml:space="preserve">CARGO POR  OPERACIÓN INTEGRADA </v>
          </cell>
        </row>
        <row r="149">
          <cell r="A149" t="str">
            <v>Cochea (Generador)</v>
          </cell>
          <cell r="B149">
            <v>5.7</v>
          </cell>
          <cell r="C149">
            <v>0.1681</v>
          </cell>
          <cell r="D149">
            <v>958.17</v>
          </cell>
        </row>
        <row r="152">
          <cell r="A152" t="str">
            <v>ENERGÍA Y SERVICIOS DE PANAMÁ, S.A. (ESEPSA)</v>
          </cell>
          <cell r="B152" t="str">
            <v>Cantidad</v>
          </cell>
          <cell r="C152" t="str">
            <v xml:space="preserve">Cargos </v>
          </cell>
        </row>
        <row r="153">
          <cell r="A153" t="str">
            <v xml:space="preserve">CARGO POR  CONEXIÓN </v>
          </cell>
          <cell r="D153">
            <v>0</v>
          </cell>
        </row>
        <row r="154">
          <cell r="A154" t="str">
            <v xml:space="preserve">CARGO POR  OPERACIÓN INTEGRADA </v>
          </cell>
        </row>
        <row r="155">
          <cell r="A155" t="str">
            <v>ESEPSA (Generador)</v>
          </cell>
          <cell r="B155">
            <v>12.5</v>
          </cell>
          <cell r="C155">
            <v>0.1681</v>
          </cell>
          <cell r="D155">
            <v>2101.25</v>
          </cell>
        </row>
        <row r="158">
          <cell r="A158" t="str">
            <v>INGRESO TOTAL CONEXIÓN</v>
          </cell>
        </row>
        <row r="159">
          <cell r="A159" t="str">
            <v>INGRESO TOTAL POR OPERACIÓN INTEGRADA</v>
          </cell>
        </row>
        <row r="160">
          <cell r="A160" t="str">
            <v>INGRESO TOTAL ETESA</v>
          </cell>
        </row>
      </sheetData>
      <sheetData sheetId="1" refreshError="1">
        <row r="8">
          <cell r="D8">
            <v>4736.67</v>
          </cell>
        </row>
        <row r="9">
          <cell r="D9">
            <v>23230</v>
          </cell>
        </row>
        <row r="10">
          <cell r="D10">
            <v>35593.33</v>
          </cell>
        </row>
        <row r="11">
          <cell r="D11">
            <v>26011.67</v>
          </cell>
        </row>
        <row r="12">
          <cell r="D12">
            <v>50866.67</v>
          </cell>
        </row>
        <row r="13">
          <cell r="D13">
            <v>36250</v>
          </cell>
        </row>
        <row r="14">
          <cell r="D14">
            <v>0</v>
          </cell>
        </row>
        <row r="15">
          <cell r="D15">
            <v>16969.169999999998</v>
          </cell>
        </row>
        <row r="17">
          <cell r="D17">
            <v>170901.11</v>
          </cell>
        </row>
        <row r="23">
          <cell r="D23">
            <v>129070.16</v>
          </cell>
        </row>
        <row r="28">
          <cell r="D28">
            <v>30973.33</v>
          </cell>
        </row>
        <row r="29">
          <cell r="D29">
            <v>444.58</v>
          </cell>
        </row>
        <row r="30">
          <cell r="D30">
            <v>12293.33</v>
          </cell>
        </row>
        <row r="31">
          <cell r="D31">
            <v>3237.57</v>
          </cell>
        </row>
        <row r="32">
          <cell r="D32">
            <v>2752.86</v>
          </cell>
        </row>
        <row r="34">
          <cell r="D34">
            <v>27942.76</v>
          </cell>
        </row>
        <row r="35">
          <cell r="D35">
            <v>5420.15</v>
          </cell>
        </row>
        <row r="41">
          <cell r="D41">
            <v>50430</v>
          </cell>
        </row>
        <row r="46">
          <cell r="D46">
            <v>5157.17</v>
          </cell>
        </row>
        <row r="47">
          <cell r="D47">
            <v>1778.33</v>
          </cell>
        </row>
        <row r="57">
          <cell r="D57">
            <v>47068</v>
          </cell>
        </row>
        <row r="63">
          <cell r="D63">
            <v>16137.6</v>
          </cell>
        </row>
        <row r="68">
          <cell r="D68">
            <v>21348.7</v>
          </cell>
        </row>
        <row r="74">
          <cell r="D74">
            <v>8998.39</v>
          </cell>
        </row>
        <row r="78">
          <cell r="D78">
            <v>0</v>
          </cell>
        </row>
        <row r="80">
          <cell r="D80">
            <v>6724</v>
          </cell>
        </row>
        <row r="84">
          <cell r="D84">
            <v>0</v>
          </cell>
        </row>
        <row r="86">
          <cell r="D86">
            <v>8463.84</v>
          </cell>
        </row>
        <row r="90">
          <cell r="D90">
            <v>0</v>
          </cell>
        </row>
        <row r="92">
          <cell r="D92">
            <v>25215</v>
          </cell>
        </row>
        <row r="96">
          <cell r="D96">
            <v>0</v>
          </cell>
        </row>
        <row r="98">
          <cell r="D98">
            <v>1638.98</v>
          </cell>
        </row>
        <row r="102">
          <cell r="D102">
            <v>0</v>
          </cell>
        </row>
        <row r="104">
          <cell r="D104">
            <v>37415.699999999997</v>
          </cell>
        </row>
        <row r="108">
          <cell r="D108">
            <v>0</v>
          </cell>
        </row>
        <row r="110">
          <cell r="D110">
            <v>1681</v>
          </cell>
        </row>
        <row r="114">
          <cell r="D114">
            <v>0</v>
          </cell>
        </row>
        <row r="116">
          <cell r="D116">
            <v>672.4</v>
          </cell>
        </row>
        <row r="120">
          <cell r="D120">
            <v>0</v>
          </cell>
        </row>
        <row r="122">
          <cell r="D122">
            <v>14658.32</v>
          </cell>
        </row>
        <row r="123">
          <cell r="D123">
            <v>5681.78</v>
          </cell>
        </row>
        <row r="124">
          <cell r="D124">
            <v>9860.75</v>
          </cell>
        </row>
        <row r="128">
          <cell r="D128">
            <v>0</v>
          </cell>
        </row>
        <row r="130">
          <cell r="D130">
            <v>4259.6499999999996</v>
          </cell>
        </row>
        <row r="134">
          <cell r="D134">
            <v>0</v>
          </cell>
        </row>
        <row r="136">
          <cell r="D136">
            <v>9548.08</v>
          </cell>
        </row>
        <row r="137">
          <cell r="D137">
            <v>14439.79</v>
          </cell>
        </row>
        <row r="141">
          <cell r="D141">
            <v>0</v>
          </cell>
        </row>
        <row r="143">
          <cell r="D143">
            <v>672.4</v>
          </cell>
        </row>
        <row r="147">
          <cell r="D147">
            <v>0</v>
          </cell>
        </row>
        <row r="149">
          <cell r="D149">
            <v>958.17</v>
          </cell>
        </row>
        <row r="153">
          <cell r="D153">
            <v>0</v>
          </cell>
        </row>
        <row r="155">
          <cell r="D155">
            <v>2101.25</v>
          </cell>
        </row>
      </sheetData>
      <sheetData sheetId="2" refreshError="1">
        <row r="8">
          <cell r="D8">
            <v>4736.67</v>
          </cell>
        </row>
        <row r="9">
          <cell r="D9">
            <v>23230</v>
          </cell>
        </row>
        <row r="10">
          <cell r="D10">
            <v>35593.33</v>
          </cell>
        </row>
        <row r="11">
          <cell r="D11">
            <v>26011.67</v>
          </cell>
        </row>
        <row r="12">
          <cell r="D12">
            <v>50866.67</v>
          </cell>
        </row>
        <row r="13">
          <cell r="D13">
            <v>18125</v>
          </cell>
        </row>
        <row r="14">
          <cell r="D14">
            <v>177500</v>
          </cell>
        </row>
        <row r="15">
          <cell r="D15">
            <v>16969.169999999998</v>
          </cell>
        </row>
        <row r="17">
          <cell r="D17">
            <v>170901.11</v>
          </cell>
        </row>
        <row r="23">
          <cell r="D23">
            <v>129070.16</v>
          </cell>
        </row>
        <row r="28">
          <cell r="D28">
            <v>30973.33</v>
          </cell>
        </row>
        <row r="29">
          <cell r="D29">
            <v>444.58</v>
          </cell>
        </row>
        <row r="30">
          <cell r="D30">
            <v>12293.33</v>
          </cell>
        </row>
        <row r="31">
          <cell r="D31">
            <v>3237.57</v>
          </cell>
        </row>
        <row r="32">
          <cell r="D32">
            <v>2752.86</v>
          </cell>
        </row>
        <row r="34">
          <cell r="D34">
            <v>27942.76</v>
          </cell>
        </row>
        <row r="35">
          <cell r="D35">
            <v>5420.15</v>
          </cell>
        </row>
        <row r="41">
          <cell r="D41">
            <v>50430</v>
          </cell>
        </row>
        <row r="46">
          <cell r="D46">
            <v>5157.17</v>
          </cell>
        </row>
        <row r="47">
          <cell r="D47">
            <v>1778.33</v>
          </cell>
        </row>
        <row r="57">
          <cell r="D57">
            <v>47068</v>
          </cell>
        </row>
        <row r="63">
          <cell r="D63">
            <v>16137.6</v>
          </cell>
        </row>
        <row r="68">
          <cell r="D68">
            <v>21348.7</v>
          </cell>
        </row>
        <row r="74">
          <cell r="D74">
            <v>8998.39</v>
          </cell>
        </row>
        <row r="78">
          <cell r="D78">
            <v>0</v>
          </cell>
        </row>
        <row r="80">
          <cell r="D80">
            <v>6724</v>
          </cell>
        </row>
        <row r="84">
          <cell r="D84">
            <v>0</v>
          </cell>
        </row>
        <row r="86">
          <cell r="D86">
            <v>8463.84</v>
          </cell>
        </row>
        <row r="90">
          <cell r="D90">
            <v>0</v>
          </cell>
        </row>
        <row r="92">
          <cell r="D92">
            <v>25215</v>
          </cell>
        </row>
        <row r="96">
          <cell r="D96">
            <v>0</v>
          </cell>
        </row>
        <row r="98">
          <cell r="D98">
            <v>1638.98</v>
          </cell>
        </row>
        <row r="102">
          <cell r="D102">
            <v>0</v>
          </cell>
        </row>
        <row r="104">
          <cell r="D104">
            <v>37415.699999999997</v>
          </cell>
        </row>
        <row r="108">
          <cell r="D108">
            <v>0</v>
          </cell>
        </row>
        <row r="110">
          <cell r="D110">
            <v>1681</v>
          </cell>
        </row>
        <row r="114">
          <cell r="D114">
            <v>0</v>
          </cell>
        </row>
        <row r="116">
          <cell r="D116">
            <v>672.4</v>
          </cell>
        </row>
        <row r="120">
          <cell r="D120">
            <v>0</v>
          </cell>
        </row>
        <row r="122">
          <cell r="D122">
            <v>14658.32</v>
          </cell>
        </row>
        <row r="123">
          <cell r="D123">
            <v>5681.78</v>
          </cell>
        </row>
        <row r="124">
          <cell r="D124">
            <v>9860.75</v>
          </cell>
        </row>
        <row r="128">
          <cell r="D128">
            <v>0</v>
          </cell>
        </row>
        <row r="130">
          <cell r="D130">
            <v>4259.6499999999996</v>
          </cell>
        </row>
        <row r="134">
          <cell r="D134">
            <v>0</v>
          </cell>
        </row>
        <row r="136">
          <cell r="D136">
            <v>9548.08</v>
          </cell>
        </row>
        <row r="137">
          <cell r="D137">
            <v>14439.79</v>
          </cell>
        </row>
        <row r="141">
          <cell r="D141">
            <v>0</v>
          </cell>
        </row>
        <row r="143">
          <cell r="D143">
            <v>672.4</v>
          </cell>
        </row>
        <row r="147">
          <cell r="D147">
            <v>0</v>
          </cell>
        </row>
        <row r="149">
          <cell r="D149">
            <v>958.17</v>
          </cell>
        </row>
        <row r="153">
          <cell r="D153">
            <v>0</v>
          </cell>
        </row>
        <row r="155">
          <cell r="D155">
            <v>2101.25</v>
          </cell>
        </row>
      </sheetData>
      <sheetData sheetId="3" refreshError="1">
        <row r="8">
          <cell r="D8">
            <v>4736.67</v>
          </cell>
        </row>
        <row r="9">
          <cell r="D9">
            <v>23230</v>
          </cell>
        </row>
        <row r="10">
          <cell r="D10">
            <v>35593.33</v>
          </cell>
        </row>
        <row r="11">
          <cell r="D11">
            <v>26011.67</v>
          </cell>
        </row>
        <row r="12">
          <cell r="D12">
            <v>50866.67</v>
          </cell>
        </row>
        <row r="13">
          <cell r="D13">
            <v>18125</v>
          </cell>
        </row>
        <row r="14">
          <cell r="D14">
            <v>177500</v>
          </cell>
        </row>
        <row r="15">
          <cell r="D15">
            <v>16969.169999999998</v>
          </cell>
        </row>
        <row r="17">
          <cell r="D17">
            <v>170901.11</v>
          </cell>
        </row>
        <row r="23">
          <cell r="D23">
            <v>129070.16</v>
          </cell>
        </row>
        <row r="28">
          <cell r="D28">
            <v>30973.33</v>
          </cell>
        </row>
        <row r="29">
          <cell r="D29">
            <v>444.58</v>
          </cell>
        </row>
        <row r="30">
          <cell r="D30">
            <v>12293.33</v>
          </cell>
        </row>
        <row r="31">
          <cell r="D31">
            <v>3237.57</v>
          </cell>
        </row>
        <row r="32">
          <cell r="D32">
            <v>2752.86</v>
          </cell>
        </row>
        <row r="34">
          <cell r="D34">
            <v>27942.76</v>
          </cell>
        </row>
        <row r="35">
          <cell r="D35">
            <v>5420.15</v>
          </cell>
        </row>
        <row r="41">
          <cell r="D41">
            <v>50430</v>
          </cell>
        </row>
        <row r="46">
          <cell r="D46">
            <v>5157.17</v>
          </cell>
        </row>
        <row r="47">
          <cell r="D47">
            <v>1778.33</v>
          </cell>
        </row>
        <row r="57">
          <cell r="D57">
            <v>47068</v>
          </cell>
        </row>
        <row r="63">
          <cell r="D63">
            <v>16137.6</v>
          </cell>
        </row>
        <row r="68">
          <cell r="D68">
            <v>21348.7</v>
          </cell>
        </row>
        <row r="74">
          <cell r="D74">
            <v>8998.39</v>
          </cell>
        </row>
        <row r="78">
          <cell r="D78">
            <v>0</v>
          </cell>
        </row>
        <row r="80">
          <cell r="D80">
            <v>6724</v>
          </cell>
        </row>
        <row r="84">
          <cell r="D84">
            <v>0</v>
          </cell>
        </row>
        <row r="85">
          <cell r="D85">
            <v>8463.84</v>
          </cell>
        </row>
        <row r="90">
          <cell r="D90">
            <v>0</v>
          </cell>
        </row>
        <row r="92">
          <cell r="D92">
            <v>25215</v>
          </cell>
        </row>
        <row r="96">
          <cell r="D96">
            <v>0</v>
          </cell>
        </row>
        <row r="98">
          <cell r="D98">
            <v>1638.98</v>
          </cell>
        </row>
        <row r="102">
          <cell r="D102">
            <v>0</v>
          </cell>
        </row>
        <row r="104">
          <cell r="D104">
            <v>37415.699999999997</v>
          </cell>
        </row>
        <row r="108">
          <cell r="D108">
            <v>0</v>
          </cell>
        </row>
        <row r="110">
          <cell r="D110">
            <v>1681</v>
          </cell>
        </row>
        <row r="114">
          <cell r="D114">
            <v>0</v>
          </cell>
        </row>
        <row r="116">
          <cell r="D116">
            <v>672.4</v>
          </cell>
        </row>
        <row r="120">
          <cell r="D120">
            <v>0</v>
          </cell>
        </row>
        <row r="122">
          <cell r="D122">
            <v>14658.32</v>
          </cell>
        </row>
        <row r="123">
          <cell r="D123">
            <v>5681.78</v>
          </cell>
        </row>
        <row r="124">
          <cell r="D124">
            <v>9860.75</v>
          </cell>
        </row>
        <row r="128">
          <cell r="D128">
            <v>0</v>
          </cell>
        </row>
        <row r="130">
          <cell r="D130">
            <v>4259.6499999999996</v>
          </cell>
        </row>
        <row r="134">
          <cell r="D134">
            <v>0</v>
          </cell>
        </row>
        <row r="136">
          <cell r="D136">
            <v>9548.08</v>
          </cell>
        </row>
        <row r="137">
          <cell r="D137">
            <v>14439.79</v>
          </cell>
        </row>
        <row r="141">
          <cell r="D141">
            <v>0</v>
          </cell>
        </row>
        <row r="143">
          <cell r="D143">
            <v>672.4</v>
          </cell>
        </row>
        <row r="147">
          <cell r="D147">
            <v>0</v>
          </cell>
        </row>
        <row r="149">
          <cell r="D149">
            <v>958.17</v>
          </cell>
        </row>
        <row r="153">
          <cell r="D153">
            <v>0</v>
          </cell>
        </row>
        <row r="155">
          <cell r="D155">
            <v>2101.25</v>
          </cell>
        </row>
      </sheetData>
      <sheetData sheetId="4" refreshError="1">
        <row r="8">
          <cell r="D8">
            <v>4736.67</v>
          </cell>
        </row>
        <row r="9">
          <cell r="D9">
            <v>23230</v>
          </cell>
        </row>
        <row r="10">
          <cell r="D10">
            <v>35593.33</v>
          </cell>
        </row>
        <row r="11">
          <cell r="D11">
            <v>26011.67</v>
          </cell>
        </row>
        <row r="12">
          <cell r="D12">
            <v>50866.67</v>
          </cell>
        </row>
        <row r="13">
          <cell r="D13">
            <v>0</v>
          </cell>
        </row>
        <row r="14">
          <cell r="D14">
            <v>177500</v>
          </cell>
        </row>
        <row r="15">
          <cell r="D15">
            <v>16969.169999999998</v>
          </cell>
        </row>
        <row r="17">
          <cell r="D17">
            <v>170901.11</v>
          </cell>
        </row>
        <row r="23">
          <cell r="D23">
            <v>129070.16</v>
          </cell>
        </row>
        <row r="28">
          <cell r="D28">
            <v>30973.33</v>
          </cell>
        </row>
        <row r="29">
          <cell r="D29">
            <v>444.58</v>
          </cell>
        </row>
        <row r="30">
          <cell r="D30">
            <v>12293.33</v>
          </cell>
        </row>
        <row r="31">
          <cell r="D31">
            <v>3237.57</v>
          </cell>
        </row>
        <row r="32">
          <cell r="D32">
            <v>2752.86</v>
          </cell>
        </row>
        <row r="34">
          <cell r="D34">
            <v>27942.76</v>
          </cell>
        </row>
        <row r="35">
          <cell r="D35">
            <v>5420.15</v>
          </cell>
        </row>
        <row r="41">
          <cell r="D41">
            <v>50430</v>
          </cell>
        </row>
        <row r="46">
          <cell r="D46">
            <v>5157.17</v>
          </cell>
        </row>
        <row r="47">
          <cell r="D47">
            <v>1778.33</v>
          </cell>
        </row>
        <row r="57">
          <cell r="D57">
            <v>47068</v>
          </cell>
        </row>
        <row r="63">
          <cell r="D63">
            <v>16137.6</v>
          </cell>
        </row>
        <row r="68">
          <cell r="D68">
            <v>21348.7</v>
          </cell>
        </row>
        <row r="74">
          <cell r="D74">
            <v>8998.39</v>
          </cell>
        </row>
        <row r="78">
          <cell r="D78">
            <v>0</v>
          </cell>
        </row>
        <row r="80">
          <cell r="D80">
            <v>6724</v>
          </cell>
        </row>
        <row r="84">
          <cell r="D84">
            <v>0</v>
          </cell>
        </row>
        <row r="86">
          <cell r="D86">
            <v>8463.84</v>
          </cell>
        </row>
        <row r="90">
          <cell r="D90">
            <v>0</v>
          </cell>
        </row>
        <row r="92">
          <cell r="D92">
            <v>25215</v>
          </cell>
        </row>
        <row r="96">
          <cell r="D96">
            <v>0</v>
          </cell>
        </row>
        <row r="98">
          <cell r="D98">
            <v>1638.98</v>
          </cell>
        </row>
        <row r="102">
          <cell r="D102">
            <v>0</v>
          </cell>
        </row>
        <row r="104">
          <cell r="D104">
            <v>37415.699999999997</v>
          </cell>
        </row>
        <row r="108">
          <cell r="D108">
            <v>0</v>
          </cell>
        </row>
        <row r="110">
          <cell r="D110">
            <v>1681</v>
          </cell>
        </row>
        <row r="114">
          <cell r="D114">
            <v>0</v>
          </cell>
        </row>
        <row r="116">
          <cell r="D116">
            <v>672.4</v>
          </cell>
        </row>
        <row r="120">
          <cell r="D120">
            <v>0</v>
          </cell>
        </row>
        <row r="122">
          <cell r="D122">
            <v>14658.32</v>
          </cell>
        </row>
        <row r="123">
          <cell r="D123">
            <v>5681.78</v>
          </cell>
        </row>
        <row r="124">
          <cell r="D124">
            <v>9860.75</v>
          </cell>
        </row>
        <row r="128">
          <cell r="D128">
            <v>0</v>
          </cell>
        </row>
        <row r="130">
          <cell r="D130">
            <v>4259.6499999999996</v>
          </cell>
        </row>
        <row r="134">
          <cell r="D134">
            <v>0</v>
          </cell>
        </row>
        <row r="136">
          <cell r="D136">
            <v>9548.08</v>
          </cell>
        </row>
        <row r="137">
          <cell r="D137">
            <v>14439.79</v>
          </cell>
        </row>
        <row r="141">
          <cell r="D141">
            <v>0</v>
          </cell>
        </row>
        <row r="143">
          <cell r="D143">
            <v>672.4</v>
          </cell>
        </row>
        <row r="147">
          <cell r="D147">
            <v>0</v>
          </cell>
        </row>
        <row r="149">
          <cell r="D149">
            <v>958.17</v>
          </cell>
        </row>
        <row r="153">
          <cell r="D153">
            <v>0</v>
          </cell>
        </row>
        <row r="155">
          <cell r="D155">
            <v>2101.25</v>
          </cell>
        </row>
      </sheetData>
      <sheetData sheetId="5" refreshError="1">
        <row r="8">
          <cell r="D8">
            <v>4736.67</v>
          </cell>
        </row>
        <row r="9">
          <cell r="D9">
            <v>23230</v>
          </cell>
        </row>
        <row r="10">
          <cell r="D10">
            <v>35593.33</v>
          </cell>
        </row>
        <row r="11">
          <cell r="D11">
            <v>26011.67</v>
          </cell>
        </row>
        <row r="12">
          <cell r="D12">
            <v>50866.67</v>
          </cell>
        </row>
        <row r="13">
          <cell r="D13">
            <v>0</v>
          </cell>
        </row>
        <row r="14">
          <cell r="D14">
            <v>177500</v>
          </cell>
        </row>
        <row r="15">
          <cell r="D15">
            <v>16969.169999999998</v>
          </cell>
        </row>
        <row r="17">
          <cell r="D17">
            <v>170901.11</v>
          </cell>
        </row>
        <row r="23">
          <cell r="D23">
            <v>129070.16</v>
          </cell>
        </row>
        <row r="28">
          <cell r="D28">
            <v>30973.33</v>
          </cell>
        </row>
        <row r="29">
          <cell r="D29">
            <v>444.58</v>
          </cell>
        </row>
        <row r="30">
          <cell r="D30">
            <v>12293.33</v>
          </cell>
        </row>
        <row r="31">
          <cell r="D31">
            <v>3237.57</v>
          </cell>
        </row>
        <row r="32">
          <cell r="D32">
            <v>2752.86</v>
          </cell>
        </row>
        <row r="34">
          <cell r="D34">
            <v>27942.76</v>
          </cell>
        </row>
        <row r="35">
          <cell r="D35">
            <v>5420.15</v>
          </cell>
        </row>
        <row r="41">
          <cell r="D41">
            <v>50430</v>
          </cell>
        </row>
        <row r="46">
          <cell r="D46">
            <v>5157.17</v>
          </cell>
        </row>
        <row r="47">
          <cell r="D47">
            <v>1778.33</v>
          </cell>
        </row>
        <row r="57">
          <cell r="D57">
            <v>47068</v>
          </cell>
        </row>
        <row r="63">
          <cell r="D63">
            <v>16137.6</v>
          </cell>
        </row>
        <row r="68">
          <cell r="D68">
            <v>21348.7</v>
          </cell>
        </row>
        <row r="74">
          <cell r="D74">
            <v>8998.39</v>
          </cell>
        </row>
        <row r="78">
          <cell r="D78">
            <v>0</v>
          </cell>
        </row>
        <row r="80">
          <cell r="D80">
            <v>6724</v>
          </cell>
        </row>
        <row r="84">
          <cell r="D84">
            <v>0</v>
          </cell>
        </row>
        <row r="86">
          <cell r="D86">
            <v>8463.84</v>
          </cell>
        </row>
        <row r="90">
          <cell r="D90">
            <v>0</v>
          </cell>
        </row>
        <row r="92">
          <cell r="D92">
            <v>25215</v>
          </cell>
        </row>
        <row r="96">
          <cell r="D96">
            <v>0</v>
          </cell>
        </row>
        <row r="98">
          <cell r="D98">
            <v>1638.98</v>
          </cell>
        </row>
        <row r="102">
          <cell r="D102">
            <v>0</v>
          </cell>
        </row>
        <row r="104">
          <cell r="D104">
            <v>37415.699999999997</v>
          </cell>
        </row>
        <row r="108">
          <cell r="D108">
            <v>0</v>
          </cell>
        </row>
        <row r="110">
          <cell r="D110">
            <v>1681</v>
          </cell>
        </row>
        <row r="114">
          <cell r="D114">
            <v>0</v>
          </cell>
        </row>
        <row r="116">
          <cell r="D116">
            <v>672.4</v>
          </cell>
        </row>
        <row r="120">
          <cell r="D120">
            <v>0</v>
          </cell>
        </row>
        <row r="122">
          <cell r="D122">
            <v>14658.32</v>
          </cell>
        </row>
        <row r="123">
          <cell r="D123">
            <v>5681.78</v>
          </cell>
        </row>
        <row r="124">
          <cell r="D124">
            <v>9860.75</v>
          </cell>
        </row>
        <row r="128">
          <cell r="D128">
            <v>0</v>
          </cell>
        </row>
        <row r="130">
          <cell r="D130">
            <v>4259.6499999999996</v>
          </cell>
        </row>
        <row r="134">
          <cell r="D134">
            <v>0</v>
          </cell>
        </row>
        <row r="136">
          <cell r="D136">
            <v>9548.08</v>
          </cell>
        </row>
        <row r="137">
          <cell r="D137">
            <v>14439.79</v>
          </cell>
        </row>
        <row r="141">
          <cell r="D141">
            <v>0</v>
          </cell>
        </row>
        <row r="143">
          <cell r="D143">
            <v>672.4</v>
          </cell>
        </row>
        <row r="147">
          <cell r="D147">
            <v>0</v>
          </cell>
        </row>
        <row r="149">
          <cell r="D149">
            <v>958.17</v>
          </cell>
        </row>
        <row r="153">
          <cell r="D153">
            <v>0</v>
          </cell>
        </row>
        <row r="155">
          <cell r="D155">
            <v>2101.25</v>
          </cell>
        </row>
      </sheetData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"/>
      <sheetName val="ACTIVOS"/>
      <sheetName val="Evo"/>
      <sheetName val="Bienes 2012"/>
      <sheetName val="Tasa depreciacion"/>
      <sheetName val="VNR Lineas"/>
      <sheetName val="VNR Sub Conex"/>
      <sheetName val="VNR Sub SPT"/>
      <sheetName val="VNR 2012"/>
      <sheetName val="Plan exp"/>
      <sheetName val="CND"/>
      <sheetName val="CND SOLICITADO"/>
      <sheetName val="CND AJUSTADO"/>
      <sheetName val="CND AJUSTADO -RES"/>
      <sheetName val="HID"/>
      <sheetName val="HID2"/>
    </sheetNames>
    <sheetDataSet>
      <sheetData sheetId="0"/>
      <sheetData sheetId="1">
        <row r="31">
          <cell r="C31">
            <v>328214.90700403386</v>
          </cell>
        </row>
        <row r="32">
          <cell r="C32">
            <v>199740.3098379263</v>
          </cell>
          <cell r="D32">
            <v>192966.4124455378</v>
          </cell>
          <cell r="E32">
            <v>236796.41846024472</v>
          </cell>
          <cell r="F32">
            <v>284043.72011476068</v>
          </cell>
          <cell r="G32">
            <v>311780.65539075877</v>
          </cell>
          <cell r="H32">
            <v>428063.79489368392</v>
          </cell>
        </row>
        <row r="33">
          <cell r="D33">
            <v>-10117.845662388465</v>
          </cell>
          <cell r="E33">
            <v>-10218.164110488466</v>
          </cell>
          <cell r="F33">
            <v>-11839.609214244327</v>
          </cell>
          <cell r="G33">
            <v>-13612.216540307134</v>
          </cell>
          <cell r="H33">
            <v>-14852.69109479629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285457.82998149999</v>
          </cell>
        </row>
        <row r="60">
          <cell r="H60">
            <v>0</v>
          </cell>
        </row>
        <row r="88">
          <cell r="D88">
            <v>-1133.7359452590517</v>
          </cell>
          <cell r="E88">
            <v>-1241.0459452590517</v>
          </cell>
          <cell r="F88">
            <v>-1295.3459452590516</v>
          </cell>
          <cell r="G88">
            <v>-1677.8759452590516</v>
          </cell>
          <cell r="H88">
            <v>-1710.9059452590518</v>
          </cell>
        </row>
        <row r="115">
          <cell r="C115">
            <v>8607.5463466670826</v>
          </cell>
          <cell r="D115">
            <v>16294.476097688785</v>
          </cell>
          <cell r="E115">
            <v>23073.875848710486</v>
          </cell>
          <cell r="F115">
            <v>21822.365599732191</v>
          </cell>
          <cell r="G115">
            <v>20570.855350753889</v>
          </cell>
          <cell r="H115">
            <v>19319.345101775594</v>
          </cell>
        </row>
        <row r="116">
          <cell r="D116">
            <v>-764.07024897829797</v>
          </cell>
          <cell r="E116">
            <v>-1017.6002489782979</v>
          </cell>
          <cell r="F116">
            <v>-1251.510248978298</v>
          </cell>
          <cell r="G116">
            <v>-1251.510248978298</v>
          </cell>
          <cell r="H116">
            <v>-1251.510248978298</v>
          </cell>
        </row>
        <row r="143">
          <cell r="C143">
            <v>2000.9</v>
          </cell>
          <cell r="D143">
            <v>2000.9</v>
          </cell>
          <cell r="E143">
            <v>2000.9</v>
          </cell>
          <cell r="F143">
            <v>2000.9</v>
          </cell>
          <cell r="G143">
            <v>0</v>
          </cell>
          <cell r="H143">
            <v>0</v>
          </cell>
        </row>
        <row r="144">
          <cell r="C144">
            <v>269.1894999999995</v>
          </cell>
          <cell r="D144">
            <v>199.15799999999945</v>
          </cell>
          <cell r="E144">
            <v>129.1264999999994</v>
          </cell>
          <cell r="F144">
            <v>59.094999999999345</v>
          </cell>
          <cell r="G144">
            <v>0</v>
          </cell>
          <cell r="H144">
            <v>0</v>
          </cell>
        </row>
        <row r="145">
          <cell r="D145">
            <v>-70.031500000000008</v>
          </cell>
          <cell r="E145">
            <v>-70.031500000000008</v>
          </cell>
          <cell r="F145">
            <v>-70.031500000000008</v>
          </cell>
          <cell r="G145">
            <v>-59</v>
          </cell>
          <cell r="H145">
            <v>0</v>
          </cell>
        </row>
        <row r="152">
          <cell r="C152">
            <v>672845.40272774338</v>
          </cell>
          <cell r="D152">
            <v>679766.35099774343</v>
          </cell>
          <cell r="E152">
            <v>735624.52112293872</v>
          </cell>
          <cell r="F152">
            <v>834392.43199169892</v>
          </cell>
          <cell r="G152">
            <v>876842.58380800416</v>
          </cell>
          <cell r="H152">
            <v>1012021.4144057257</v>
          </cell>
        </row>
        <row r="153">
          <cell r="G153">
            <v>0</v>
          </cell>
          <cell r="H153">
            <v>285457.82998149999</v>
          </cell>
        </row>
        <row r="154">
          <cell r="C154">
            <v>55584.10027607534</v>
          </cell>
          <cell r="D154">
            <v>64035.10027607534</v>
          </cell>
          <cell r="E154">
            <v>71832.100276075333</v>
          </cell>
          <cell r="F154">
            <v>71832.100276075333</v>
          </cell>
          <cell r="G154">
            <v>71832.100276075333</v>
          </cell>
          <cell r="H154">
            <v>71832.100276075333</v>
          </cell>
        </row>
        <row r="160">
          <cell r="D160">
            <v>552.98275666666655</v>
          </cell>
          <cell r="E160">
            <v>6580.4562743352672</v>
          </cell>
          <cell r="F160">
            <v>12132.045890916219</v>
          </cell>
          <cell r="G160">
            <v>52.364652898412075</v>
          </cell>
          <cell r="H160">
            <v>47677.735883143461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142728.91499075</v>
          </cell>
        </row>
        <row r="162"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5">
          <cell r="D165">
            <v>1267.9741350000002</v>
          </cell>
          <cell r="E165">
            <v>23805.79554877595</v>
          </cell>
          <cell r="F165">
            <v>25026.555360311118</v>
          </cell>
          <cell r="G165">
            <v>17387.492574819265</v>
          </cell>
          <cell r="H165">
            <v>63438.998632194074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142728.91499075</v>
          </cell>
        </row>
        <row r="167">
          <cell r="D167">
            <v>1401.75</v>
          </cell>
          <cell r="E167">
            <v>3898.5</v>
          </cell>
          <cell r="F167">
            <v>0</v>
          </cell>
          <cell r="G167">
            <v>0</v>
          </cell>
          <cell r="H167">
            <v>0</v>
          </cell>
        </row>
        <row r="172">
          <cell r="G172">
            <v>575451.02642300935</v>
          </cell>
        </row>
        <row r="173">
          <cell r="G173">
            <v>97394.37630473396</v>
          </cell>
        </row>
        <row r="174">
          <cell r="G174">
            <v>672845.40272774326</v>
          </cell>
        </row>
        <row r="215">
          <cell r="C215">
            <v>8409.7691952999921</v>
          </cell>
          <cell r="D215">
            <v>10853.033250040942</v>
          </cell>
          <cell r="E215">
            <v>11421.987304781887</v>
          </cell>
          <cell r="F215">
            <v>22877.641359522837</v>
          </cell>
          <cell r="G215">
            <v>22300.76541426378</v>
          </cell>
          <cell r="H215">
            <v>24632.859469004728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B9">
            <v>2367.7561405299994</v>
          </cell>
          <cell r="C9">
            <v>3763.125250529999</v>
          </cell>
          <cell r="D9">
            <v>3086.7081513399999</v>
          </cell>
          <cell r="E9">
            <v>3453.5681513399995</v>
          </cell>
          <cell r="F9">
            <v>3516.1801621499999</v>
          </cell>
          <cell r="G9">
            <v>3066.7801621499998</v>
          </cell>
          <cell r="H9">
            <v>3001.8921729599997</v>
          </cell>
          <cell r="I9">
            <v>3687.4921729599996</v>
          </cell>
          <cell r="J9">
            <v>3206.7041837699994</v>
          </cell>
          <cell r="K9">
            <v>3057.6041837699995</v>
          </cell>
        </row>
      </sheetData>
      <sheetData sheetId="11"/>
      <sheetData sheetId="12"/>
      <sheetData sheetId="13"/>
      <sheetData sheetId="14">
        <row r="8">
          <cell r="B8">
            <v>1606411.32</v>
          </cell>
          <cell r="C8">
            <v>1638911.32</v>
          </cell>
          <cell r="D8">
            <v>1746392.4519999998</v>
          </cell>
          <cell r="E8">
            <v>1671892.4519999998</v>
          </cell>
          <cell r="F8">
            <v>4560369.8103999998</v>
          </cell>
          <cell r="G8">
            <v>2015329.8103999998</v>
          </cell>
          <cell r="H8">
            <v>2353347.1688000001</v>
          </cell>
          <cell r="I8">
            <v>2051147.1687999999</v>
          </cell>
          <cell r="J8">
            <v>2668320.7535999995</v>
          </cell>
          <cell r="K8">
            <v>2075620.7535999997</v>
          </cell>
        </row>
      </sheetData>
      <sheetData sheetId="1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od"/>
      <sheetName val="%USO"/>
      <sheetName val="Ram"/>
      <sheetName val="Dias"/>
      <sheetName val="ENERGIA"/>
      <sheetName val="ENERGIA (Cargos)"/>
      <sheetName val="2"/>
    </sheetNames>
    <sheetDataSet>
      <sheetData sheetId="0"/>
      <sheetData sheetId="1" refreshError="1">
        <row r="3">
          <cell r="A3">
            <v>6002</v>
          </cell>
          <cell r="B3">
            <v>115</v>
          </cell>
          <cell r="C3" t="str">
            <v>Panamá 115</v>
          </cell>
          <cell r="D3" t="str">
            <v>PAN115</v>
          </cell>
          <cell r="E3">
            <v>7</v>
          </cell>
        </row>
        <row r="4">
          <cell r="A4">
            <v>6003</v>
          </cell>
          <cell r="B4">
            <v>230</v>
          </cell>
          <cell r="C4" t="str">
            <v>Panamá II 230</v>
          </cell>
          <cell r="D4" t="str">
            <v>PANII230</v>
          </cell>
          <cell r="E4">
            <v>7</v>
          </cell>
        </row>
        <row r="5">
          <cell r="A5">
            <v>6004</v>
          </cell>
          <cell r="B5">
            <v>115</v>
          </cell>
          <cell r="C5" t="str">
            <v>Panamá II 115</v>
          </cell>
          <cell r="D5" t="str">
            <v>PANII115</v>
          </cell>
          <cell r="E5">
            <v>7</v>
          </cell>
        </row>
        <row r="6">
          <cell r="A6">
            <v>6005</v>
          </cell>
          <cell r="B6">
            <v>230</v>
          </cell>
          <cell r="C6" t="str">
            <v>Chorrera 230</v>
          </cell>
          <cell r="D6" t="str">
            <v>CHO230</v>
          </cell>
          <cell r="E6">
            <v>6</v>
          </cell>
        </row>
        <row r="7">
          <cell r="A7">
            <v>6008</v>
          </cell>
          <cell r="B7">
            <v>230</v>
          </cell>
          <cell r="C7" t="str">
            <v>Llano Sánchez 230</v>
          </cell>
          <cell r="D7" t="str">
            <v>LSA230</v>
          </cell>
          <cell r="E7">
            <v>5</v>
          </cell>
        </row>
        <row r="8">
          <cell r="A8">
            <v>6009</v>
          </cell>
          <cell r="B8">
            <v>115</v>
          </cell>
          <cell r="C8" t="str">
            <v>Llano Sánchez 115</v>
          </cell>
          <cell r="D8" t="str">
            <v>LSA115</v>
          </cell>
          <cell r="E8">
            <v>5</v>
          </cell>
        </row>
        <row r="9">
          <cell r="A9">
            <v>6010</v>
          </cell>
          <cell r="B9">
            <v>34.5</v>
          </cell>
          <cell r="C9" t="str">
            <v>Llano Sánchez 34.5</v>
          </cell>
          <cell r="D9" t="str">
            <v>LSA34</v>
          </cell>
          <cell r="E9">
            <v>5</v>
          </cell>
        </row>
        <row r="10">
          <cell r="A10">
            <v>6011</v>
          </cell>
          <cell r="B10">
            <v>230</v>
          </cell>
          <cell r="C10" t="str">
            <v>Mata de Nance 230</v>
          </cell>
          <cell r="D10" t="str">
            <v>MDN230</v>
          </cell>
          <cell r="E10">
            <v>4</v>
          </cell>
        </row>
        <row r="11">
          <cell r="A11">
            <v>6012</v>
          </cell>
          <cell r="B11">
            <v>115</v>
          </cell>
          <cell r="C11" t="str">
            <v>Mata de Nance 115</v>
          </cell>
          <cell r="D11" t="str">
            <v>MDN115</v>
          </cell>
          <cell r="E11">
            <v>4</v>
          </cell>
        </row>
        <row r="12">
          <cell r="A12">
            <v>6013</v>
          </cell>
          <cell r="B12">
            <v>34.5</v>
          </cell>
          <cell r="C12" t="str">
            <v>Mata de Nance 34.5</v>
          </cell>
          <cell r="D12" t="str">
            <v>MDN34</v>
          </cell>
          <cell r="E12">
            <v>4</v>
          </cell>
        </row>
        <row r="13">
          <cell r="A13">
            <v>6014</v>
          </cell>
          <cell r="B13">
            <v>230</v>
          </cell>
          <cell r="C13" t="str">
            <v>Progreso 230</v>
          </cell>
          <cell r="D13" t="str">
            <v>PRO230</v>
          </cell>
          <cell r="E13">
            <v>1</v>
          </cell>
        </row>
        <row r="14">
          <cell r="A14">
            <v>6018</v>
          </cell>
          <cell r="B14">
            <v>115</v>
          </cell>
          <cell r="C14" t="str">
            <v>Cáceres</v>
          </cell>
          <cell r="D14" t="str">
            <v>CAC115</v>
          </cell>
          <cell r="E14">
            <v>7</v>
          </cell>
        </row>
        <row r="15">
          <cell r="A15">
            <v>6024</v>
          </cell>
          <cell r="B15">
            <v>115</v>
          </cell>
          <cell r="C15" t="str">
            <v>Chilibre</v>
          </cell>
          <cell r="D15" t="str">
            <v>CHI115</v>
          </cell>
          <cell r="E15">
            <v>7</v>
          </cell>
        </row>
        <row r="16">
          <cell r="A16">
            <v>6059</v>
          </cell>
          <cell r="B16">
            <v>115</v>
          </cell>
          <cell r="C16" t="str">
            <v>Las Minas 1</v>
          </cell>
          <cell r="D16" t="str">
            <v>LM1115</v>
          </cell>
          <cell r="E16">
            <v>9</v>
          </cell>
        </row>
        <row r="17">
          <cell r="A17">
            <v>6060</v>
          </cell>
          <cell r="B17">
            <v>115</v>
          </cell>
          <cell r="C17" t="str">
            <v>Las Minas 2</v>
          </cell>
          <cell r="D17" t="str">
            <v>LM2115</v>
          </cell>
          <cell r="E17">
            <v>9</v>
          </cell>
        </row>
        <row r="18">
          <cell r="A18">
            <v>6087</v>
          </cell>
          <cell r="B18">
            <v>115</v>
          </cell>
          <cell r="C18" t="str">
            <v>Caldera</v>
          </cell>
          <cell r="D18" t="str">
            <v>CAL115</v>
          </cell>
          <cell r="E18">
            <v>3</v>
          </cell>
        </row>
        <row r="19">
          <cell r="A19">
            <v>6096</v>
          </cell>
          <cell r="B19">
            <v>230</v>
          </cell>
          <cell r="C19" t="str">
            <v>Fortuna</v>
          </cell>
          <cell r="D19" t="str">
            <v>FOR230</v>
          </cell>
          <cell r="E19">
            <v>2</v>
          </cell>
        </row>
        <row r="20">
          <cell r="A20">
            <v>6100</v>
          </cell>
          <cell r="B20">
            <v>230</v>
          </cell>
          <cell r="C20" t="str">
            <v>Bayano</v>
          </cell>
          <cell r="D20" t="str">
            <v>BAY230</v>
          </cell>
          <cell r="E20">
            <v>8</v>
          </cell>
        </row>
        <row r="21">
          <cell r="A21">
            <v>6170</v>
          </cell>
          <cell r="B21">
            <v>115</v>
          </cell>
          <cell r="C21" t="str">
            <v>Cemento Panamá</v>
          </cell>
          <cell r="D21" t="str">
            <v>CPA115</v>
          </cell>
          <cell r="E21">
            <v>9</v>
          </cell>
        </row>
        <row r="22">
          <cell r="A22">
            <v>6171</v>
          </cell>
          <cell r="B22">
            <v>230</v>
          </cell>
          <cell r="C22" t="str">
            <v>Pacora</v>
          </cell>
          <cell r="D22" t="str">
            <v>PAC230</v>
          </cell>
          <cell r="E22">
            <v>7</v>
          </cell>
        </row>
        <row r="23">
          <cell r="A23">
            <v>6173</v>
          </cell>
          <cell r="B23">
            <v>115</v>
          </cell>
          <cell r="C23" t="str">
            <v>Santa Rita</v>
          </cell>
          <cell r="D23" t="str">
            <v>STR115</v>
          </cell>
          <cell r="E23">
            <v>9</v>
          </cell>
        </row>
        <row r="24">
          <cell r="A24">
            <v>6179</v>
          </cell>
          <cell r="B24">
            <v>230</v>
          </cell>
          <cell r="C24" t="str">
            <v>Guasquitas</v>
          </cell>
          <cell r="D24" t="str">
            <v>GUA230</v>
          </cell>
          <cell r="E24">
            <v>2</v>
          </cell>
        </row>
        <row r="25">
          <cell r="A25">
            <v>6182</v>
          </cell>
          <cell r="B25">
            <v>230</v>
          </cell>
          <cell r="C25" t="str">
            <v>Veladero</v>
          </cell>
          <cell r="D25" t="str">
            <v>VEL230</v>
          </cell>
          <cell r="E25">
            <v>4</v>
          </cell>
        </row>
        <row r="26">
          <cell r="A26">
            <v>6240</v>
          </cell>
          <cell r="B26">
            <v>230</v>
          </cell>
          <cell r="C26" t="str">
            <v>El Higo</v>
          </cell>
          <cell r="D26" t="str">
            <v>EHIG230</v>
          </cell>
          <cell r="E26">
            <v>5</v>
          </cell>
        </row>
        <row r="27">
          <cell r="A27">
            <v>6243</v>
          </cell>
          <cell r="B27">
            <v>230</v>
          </cell>
          <cell r="C27" t="str">
            <v>Vista Hermosa</v>
          </cell>
          <cell r="D27" t="str">
            <v>VHE230</v>
          </cell>
          <cell r="E27">
            <v>7</v>
          </cell>
        </row>
        <row r="28">
          <cell r="A28">
            <v>6260</v>
          </cell>
          <cell r="B28">
            <v>230</v>
          </cell>
          <cell r="C28" t="str">
            <v>Changuinola</v>
          </cell>
          <cell r="D28" t="str">
            <v>CHA230</v>
          </cell>
          <cell r="E28">
            <v>10</v>
          </cell>
        </row>
        <row r="29">
          <cell r="A29">
            <v>6261</v>
          </cell>
          <cell r="B29">
            <v>115</v>
          </cell>
          <cell r="C29" t="str">
            <v>Changuinola 115</v>
          </cell>
          <cell r="D29" t="str">
            <v>CHA115</v>
          </cell>
          <cell r="E29">
            <v>10</v>
          </cell>
        </row>
        <row r="30">
          <cell r="A30">
            <v>6262</v>
          </cell>
          <cell r="B30">
            <v>34.5</v>
          </cell>
          <cell r="C30" t="str">
            <v>Changuinola 34.5</v>
          </cell>
          <cell r="D30" t="str">
            <v>CHA34</v>
          </cell>
          <cell r="E30">
            <v>10</v>
          </cell>
        </row>
        <row r="31">
          <cell r="A31">
            <v>6263</v>
          </cell>
          <cell r="B31">
            <v>230</v>
          </cell>
          <cell r="C31" t="str">
            <v>La Esperanza</v>
          </cell>
          <cell r="D31" t="str">
            <v>ESP230</v>
          </cell>
          <cell r="E31">
            <v>10</v>
          </cell>
        </row>
        <row r="32">
          <cell r="A32">
            <v>6290</v>
          </cell>
          <cell r="B32">
            <v>115</v>
          </cell>
          <cell r="C32" t="str">
            <v>Cativá II</v>
          </cell>
          <cell r="D32" t="str">
            <v>CATII115</v>
          </cell>
          <cell r="E32">
            <v>9</v>
          </cell>
        </row>
        <row r="33">
          <cell r="A33">
            <v>6340</v>
          </cell>
          <cell r="B33">
            <v>230</v>
          </cell>
          <cell r="C33" t="str">
            <v>Cañazas</v>
          </cell>
          <cell r="D33" t="str">
            <v>CAN230</v>
          </cell>
          <cell r="E33">
            <v>10</v>
          </cell>
        </row>
        <row r="34">
          <cell r="A34">
            <v>6380</v>
          </cell>
          <cell r="B34">
            <v>230</v>
          </cell>
          <cell r="C34" t="str">
            <v>Boquerón III</v>
          </cell>
          <cell r="D34" t="str">
            <v>BOQIII230</v>
          </cell>
          <cell r="E34">
            <v>4</v>
          </cell>
        </row>
        <row r="35">
          <cell r="A35">
            <v>6460</v>
          </cell>
          <cell r="B35">
            <v>230</v>
          </cell>
          <cell r="C35" t="str">
            <v>El Coco</v>
          </cell>
          <cell r="D35" t="str">
            <v>ECO230</v>
          </cell>
          <cell r="E35">
            <v>5</v>
          </cell>
        </row>
        <row r="36">
          <cell r="A36">
            <v>6470</v>
          </cell>
          <cell r="B36">
            <v>230</v>
          </cell>
          <cell r="C36" t="str">
            <v>24 de Diciembre</v>
          </cell>
          <cell r="D36" t="str">
            <v>24DIC230</v>
          </cell>
          <cell r="E36">
            <v>7</v>
          </cell>
        </row>
        <row r="37">
          <cell r="A37">
            <v>6520</v>
          </cell>
          <cell r="B37">
            <v>230</v>
          </cell>
          <cell r="C37" t="str">
            <v>San Bartolo</v>
          </cell>
          <cell r="D37" t="str">
            <v>SBA34</v>
          </cell>
          <cell r="E37">
            <v>4</v>
          </cell>
        </row>
        <row r="38">
          <cell r="A38">
            <v>6550</v>
          </cell>
          <cell r="B38">
            <v>230</v>
          </cell>
          <cell r="C38" t="str">
            <v>Bella Vista</v>
          </cell>
          <cell r="D38" t="str">
            <v>BEV230</v>
          </cell>
          <cell r="E38">
            <v>4</v>
          </cell>
        </row>
        <row r="39">
          <cell r="A39">
            <v>6713</v>
          </cell>
          <cell r="B39">
            <v>230</v>
          </cell>
          <cell r="C39" t="str">
            <v>Burunga</v>
          </cell>
          <cell r="D39" t="str">
            <v>BUR230</v>
          </cell>
          <cell r="E39">
            <v>6</v>
          </cell>
        </row>
        <row r="40">
          <cell r="A40">
            <v>6801</v>
          </cell>
          <cell r="B40">
            <v>230</v>
          </cell>
          <cell r="C40" t="str">
            <v>Costa Norte</v>
          </cell>
          <cell r="D40" t="str">
            <v>CNO230</v>
          </cell>
          <cell r="E40">
            <v>9</v>
          </cell>
        </row>
        <row r="41">
          <cell r="A41">
            <v>6830</v>
          </cell>
          <cell r="B41">
            <v>230</v>
          </cell>
          <cell r="C41" t="str">
            <v>Antón</v>
          </cell>
          <cell r="D41" t="str">
            <v>ANT230</v>
          </cell>
          <cell r="E41">
            <v>6</v>
          </cell>
        </row>
        <row r="42">
          <cell r="A42">
            <v>7000</v>
          </cell>
          <cell r="C42" t="str">
            <v>T1-Panama</v>
          </cell>
          <cell r="D42" t="str">
            <v>T1-PAN</v>
          </cell>
          <cell r="E42">
            <v>7</v>
          </cell>
        </row>
        <row r="43">
          <cell r="A43">
            <v>7001</v>
          </cell>
          <cell r="C43" t="str">
            <v>T2-Panama</v>
          </cell>
          <cell r="D43" t="str">
            <v>T2-PAN</v>
          </cell>
          <cell r="E43">
            <v>7</v>
          </cell>
        </row>
        <row r="44">
          <cell r="A44">
            <v>7002</v>
          </cell>
          <cell r="C44" t="str">
            <v>T3-Panama</v>
          </cell>
          <cell r="D44" t="str">
            <v>T3-PAN</v>
          </cell>
          <cell r="E44">
            <v>7</v>
          </cell>
        </row>
        <row r="45">
          <cell r="A45">
            <v>7003</v>
          </cell>
          <cell r="C45" t="str">
            <v>T5-Panama</v>
          </cell>
          <cell r="D45" t="str">
            <v>T5-PAN</v>
          </cell>
          <cell r="E45">
            <v>7</v>
          </cell>
        </row>
        <row r="46">
          <cell r="A46">
            <v>7004</v>
          </cell>
          <cell r="C46" t="str">
            <v>T1-PanamaII</v>
          </cell>
          <cell r="D46" t="str">
            <v>T1-PANII</v>
          </cell>
          <cell r="E46">
            <v>7</v>
          </cell>
        </row>
        <row r="47">
          <cell r="A47">
            <v>7005</v>
          </cell>
          <cell r="C47" t="str">
            <v>T2-PanamaII</v>
          </cell>
          <cell r="D47" t="str">
            <v>T2-PANII</v>
          </cell>
          <cell r="E47">
            <v>7</v>
          </cell>
        </row>
        <row r="48">
          <cell r="A48">
            <v>7006</v>
          </cell>
          <cell r="C48" t="str">
            <v>T3-PanamaII</v>
          </cell>
          <cell r="D48" t="str">
            <v>T3-PANII</v>
          </cell>
          <cell r="E48">
            <v>7</v>
          </cell>
        </row>
        <row r="49">
          <cell r="A49">
            <v>7007</v>
          </cell>
          <cell r="C49" t="str">
            <v>T1-Chorrera</v>
          </cell>
          <cell r="D49" t="str">
            <v>T1-CHO</v>
          </cell>
          <cell r="E49">
            <v>6</v>
          </cell>
        </row>
        <row r="50">
          <cell r="A50">
            <v>7008</v>
          </cell>
          <cell r="C50" t="str">
            <v>T2-Chorrera</v>
          </cell>
          <cell r="D50" t="str">
            <v>T2-CHO</v>
          </cell>
          <cell r="E50">
            <v>6</v>
          </cell>
        </row>
        <row r="51">
          <cell r="A51">
            <v>7009</v>
          </cell>
          <cell r="C51" t="str">
            <v>T3-Chorrera</v>
          </cell>
          <cell r="D51" t="str">
            <v>T3-CHO</v>
          </cell>
          <cell r="E51">
            <v>6</v>
          </cell>
        </row>
        <row r="52">
          <cell r="A52">
            <v>7010</v>
          </cell>
          <cell r="C52" t="str">
            <v>T1-Llano Sanchez</v>
          </cell>
          <cell r="D52" t="str">
            <v>T1-LSA</v>
          </cell>
          <cell r="E52">
            <v>5</v>
          </cell>
        </row>
        <row r="53">
          <cell r="A53">
            <v>7011</v>
          </cell>
          <cell r="C53" t="str">
            <v>T2-Llano Sanchez</v>
          </cell>
          <cell r="D53" t="str">
            <v>T2-LSA</v>
          </cell>
          <cell r="E53">
            <v>5</v>
          </cell>
        </row>
        <row r="54">
          <cell r="A54">
            <v>7012</v>
          </cell>
          <cell r="C54" t="str">
            <v>T3-Llano Sanchez</v>
          </cell>
          <cell r="D54" t="str">
            <v>T3-LSA</v>
          </cell>
          <cell r="E54">
            <v>5</v>
          </cell>
        </row>
        <row r="55">
          <cell r="A55">
            <v>7013</v>
          </cell>
          <cell r="C55" t="str">
            <v>T1-Mata de Nance</v>
          </cell>
          <cell r="D55" t="str">
            <v>T1-MDN</v>
          </cell>
          <cell r="E55">
            <v>4</v>
          </cell>
        </row>
        <row r="56">
          <cell r="A56">
            <v>7014</v>
          </cell>
          <cell r="C56" t="str">
            <v>T2-Mata de Nance</v>
          </cell>
          <cell r="D56" t="str">
            <v>T2-MDN</v>
          </cell>
          <cell r="E56">
            <v>4</v>
          </cell>
        </row>
        <row r="57">
          <cell r="A57">
            <v>7015</v>
          </cell>
          <cell r="C57" t="str">
            <v>T3-Mata de Nance</v>
          </cell>
          <cell r="D57" t="str">
            <v>T3-MDN</v>
          </cell>
          <cell r="E57">
            <v>5</v>
          </cell>
        </row>
        <row r="58">
          <cell r="A58">
            <v>7016</v>
          </cell>
          <cell r="C58" t="str">
            <v>T1-Changuinola</v>
          </cell>
          <cell r="D58" t="str">
            <v>T1-CHA</v>
          </cell>
          <cell r="E58">
            <v>10</v>
          </cell>
        </row>
      </sheetData>
      <sheetData sheetId="2"/>
      <sheetData sheetId="3">
        <row r="2">
          <cell r="C2">
            <v>230</v>
          </cell>
          <cell r="F2" t="str">
            <v>S</v>
          </cell>
          <cell r="G2">
            <v>12.94</v>
          </cell>
        </row>
        <row r="3">
          <cell r="C3">
            <v>230</v>
          </cell>
          <cell r="F3" t="str">
            <v>S</v>
          </cell>
          <cell r="G3">
            <v>12.94</v>
          </cell>
        </row>
        <row r="4">
          <cell r="C4">
            <v>230</v>
          </cell>
          <cell r="F4" t="str">
            <v>S</v>
          </cell>
          <cell r="G4">
            <v>40.299999999999997</v>
          </cell>
        </row>
        <row r="5">
          <cell r="C5">
            <v>230</v>
          </cell>
          <cell r="F5" t="str">
            <v>SD</v>
          </cell>
          <cell r="G5">
            <v>37.5</v>
          </cell>
        </row>
        <row r="6">
          <cell r="C6">
            <v>230</v>
          </cell>
          <cell r="F6" t="str">
            <v>SD</v>
          </cell>
          <cell r="G6">
            <v>37.5</v>
          </cell>
        </row>
        <row r="7">
          <cell r="C7">
            <v>230</v>
          </cell>
          <cell r="F7" t="str">
            <v>S</v>
          </cell>
          <cell r="G7">
            <v>40.299999999999997</v>
          </cell>
        </row>
        <row r="8">
          <cell r="C8" t="str">
            <v>TX</v>
          </cell>
          <cell r="F8" t="str">
            <v>S</v>
          </cell>
        </row>
        <row r="9">
          <cell r="C9" t="str">
            <v>TX</v>
          </cell>
          <cell r="F9" t="str">
            <v>S</v>
          </cell>
        </row>
        <row r="10">
          <cell r="C10" t="str">
            <v>TX</v>
          </cell>
          <cell r="F10" t="str">
            <v>S</v>
          </cell>
        </row>
        <row r="11">
          <cell r="C11" t="str">
            <v>TX</v>
          </cell>
          <cell r="F11" t="str">
            <v>S</v>
          </cell>
        </row>
        <row r="12">
          <cell r="C12">
            <v>115</v>
          </cell>
          <cell r="F12" t="str">
            <v>S</v>
          </cell>
          <cell r="G12">
            <v>0.8</v>
          </cell>
        </row>
        <row r="13">
          <cell r="C13">
            <v>115</v>
          </cell>
          <cell r="F13" t="str">
            <v>S</v>
          </cell>
          <cell r="G13">
            <v>0.8</v>
          </cell>
        </row>
        <row r="14">
          <cell r="C14">
            <v>115</v>
          </cell>
          <cell r="F14" t="str">
            <v>S</v>
          </cell>
          <cell r="G14">
            <v>22.5</v>
          </cell>
        </row>
        <row r="15">
          <cell r="C15">
            <v>115</v>
          </cell>
          <cell r="F15" t="str">
            <v>S</v>
          </cell>
          <cell r="G15">
            <v>40.700000000000003</v>
          </cell>
        </row>
        <row r="16">
          <cell r="C16" t="str">
            <v>TX</v>
          </cell>
          <cell r="F16" t="str">
            <v>S</v>
          </cell>
        </row>
        <row r="17">
          <cell r="C17" t="str">
            <v>TX</v>
          </cell>
          <cell r="F17" t="str">
            <v>S</v>
          </cell>
        </row>
        <row r="18">
          <cell r="C18" t="str">
            <v>TX</v>
          </cell>
          <cell r="F18" t="str">
            <v>S</v>
          </cell>
        </row>
        <row r="19">
          <cell r="C19" t="str">
            <v>TX</v>
          </cell>
          <cell r="F19" t="str">
            <v>S</v>
          </cell>
        </row>
        <row r="20">
          <cell r="C20">
            <v>230</v>
          </cell>
          <cell r="F20" t="str">
            <v>S</v>
          </cell>
          <cell r="G20">
            <v>19</v>
          </cell>
        </row>
        <row r="21">
          <cell r="C21">
            <v>230</v>
          </cell>
          <cell r="F21" t="str">
            <v>S</v>
          </cell>
          <cell r="G21">
            <v>150.33000000000001</v>
          </cell>
        </row>
        <row r="22">
          <cell r="C22">
            <v>230</v>
          </cell>
          <cell r="F22" t="str">
            <v>S</v>
          </cell>
          <cell r="G22">
            <v>9.1</v>
          </cell>
        </row>
        <row r="23">
          <cell r="C23">
            <v>230</v>
          </cell>
          <cell r="F23" t="str">
            <v>S</v>
          </cell>
          <cell r="G23">
            <v>35.340000000000003</v>
          </cell>
        </row>
        <row r="24">
          <cell r="C24" t="str">
            <v>TX</v>
          </cell>
          <cell r="F24" t="str">
            <v>S</v>
          </cell>
        </row>
        <row r="25">
          <cell r="C25" t="str">
            <v>TX</v>
          </cell>
          <cell r="F25" t="str">
            <v>S</v>
          </cell>
        </row>
        <row r="26">
          <cell r="C26" t="str">
            <v>TX</v>
          </cell>
          <cell r="F26" t="str">
            <v>S</v>
          </cell>
        </row>
        <row r="27">
          <cell r="C27" t="str">
            <v>TX</v>
          </cell>
          <cell r="F27" t="str">
            <v>S</v>
          </cell>
        </row>
        <row r="28">
          <cell r="C28" t="str">
            <v>TX</v>
          </cell>
          <cell r="F28" t="str">
            <v>S</v>
          </cell>
        </row>
        <row r="29">
          <cell r="C29" t="str">
            <v>TX</v>
          </cell>
          <cell r="F29" t="str">
            <v>S</v>
          </cell>
        </row>
        <row r="30">
          <cell r="C30">
            <v>230</v>
          </cell>
          <cell r="F30" t="str">
            <v>S</v>
          </cell>
          <cell r="G30">
            <v>60.5</v>
          </cell>
        </row>
        <row r="31">
          <cell r="C31">
            <v>230</v>
          </cell>
          <cell r="F31" t="str">
            <v>S</v>
          </cell>
          <cell r="G31">
            <v>60.5</v>
          </cell>
        </row>
        <row r="32">
          <cell r="C32">
            <v>230</v>
          </cell>
          <cell r="F32" t="str">
            <v>SD</v>
          </cell>
          <cell r="G32">
            <v>100</v>
          </cell>
        </row>
        <row r="33">
          <cell r="C33">
            <v>230</v>
          </cell>
          <cell r="F33" t="str">
            <v>SD</v>
          </cell>
          <cell r="G33">
            <v>55.75</v>
          </cell>
        </row>
        <row r="34">
          <cell r="C34">
            <v>230</v>
          </cell>
          <cell r="F34" t="str">
            <v>SD</v>
          </cell>
          <cell r="G34">
            <v>154.94</v>
          </cell>
        </row>
        <row r="35">
          <cell r="C35">
            <v>230</v>
          </cell>
          <cell r="F35" t="str">
            <v>SD</v>
          </cell>
          <cell r="G35">
            <v>110.21</v>
          </cell>
        </row>
        <row r="36">
          <cell r="C36">
            <v>230</v>
          </cell>
          <cell r="F36" t="str">
            <v>SD</v>
          </cell>
          <cell r="G36">
            <v>110.21</v>
          </cell>
        </row>
        <row r="37">
          <cell r="C37">
            <v>230</v>
          </cell>
          <cell r="F37" t="str">
            <v>S</v>
          </cell>
          <cell r="G37">
            <v>109.36</v>
          </cell>
        </row>
        <row r="38">
          <cell r="C38">
            <v>230</v>
          </cell>
          <cell r="F38" t="str">
            <v>S</v>
          </cell>
          <cell r="G38">
            <v>81.55</v>
          </cell>
        </row>
        <row r="39">
          <cell r="C39">
            <v>230</v>
          </cell>
          <cell r="F39" t="str">
            <v>S</v>
          </cell>
          <cell r="G39">
            <v>81.55</v>
          </cell>
        </row>
        <row r="40">
          <cell r="C40">
            <v>230</v>
          </cell>
          <cell r="F40" t="str">
            <v>S</v>
          </cell>
          <cell r="G40">
            <v>44.67</v>
          </cell>
        </row>
        <row r="41">
          <cell r="C41">
            <v>230</v>
          </cell>
          <cell r="F41" t="str">
            <v>S</v>
          </cell>
          <cell r="G41">
            <v>44.67</v>
          </cell>
        </row>
        <row r="42">
          <cell r="C42">
            <v>230</v>
          </cell>
          <cell r="F42" t="str">
            <v>S</v>
          </cell>
          <cell r="G42">
            <v>67.7</v>
          </cell>
        </row>
        <row r="43">
          <cell r="C43">
            <v>230</v>
          </cell>
          <cell r="F43" t="str">
            <v>S</v>
          </cell>
          <cell r="G43">
            <v>67.7</v>
          </cell>
        </row>
        <row r="44">
          <cell r="C44">
            <v>230</v>
          </cell>
          <cell r="F44" t="str">
            <v>S</v>
          </cell>
          <cell r="G44">
            <v>103.36</v>
          </cell>
        </row>
        <row r="45">
          <cell r="C45" t="str">
            <v>TX</v>
          </cell>
          <cell r="F45" t="str">
            <v>S</v>
          </cell>
        </row>
        <row r="46">
          <cell r="C46" t="str">
            <v>TX</v>
          </cell>
          <cell r="F46" t="str">
            <v>S</v>
          </cell>
        </row>
        <row r="47">
          <cell r="C47" t="str">
            <v>TX</v>
          </cell>
          <cell r="F47" t="str">
            <v>S</v>
          </cell>
        </row>
        <row r="48">
          <cell r="C48" t="str">
            <v>TX</v>
          </cell>
          <cell r="F48" t="str">
            <v>S</v>
          </cell>
        </row>
        <row r="49">
          <cell r="C49" t="str">
            <v>TX</v>
          </cell>
          <cell r="F49" t="str">
            <v>S</v>
          </cell>
        </row>
        <row r="50">
          <cell r="C50" t="str">
            <v>TX</v>
          </cell>
          <cell r="F50" t="str">
            <v>S</v>
          </cell>
        </row>
        <row r="51">
          <cell r="C51" t="str">
            <v>TX</v>
          </cell>
          <cell r="F51" t="str">
            <v>S</v>
          </cell>
        </row>
        <row r="52">
          <cell r="C52" t="str">
            <v>TX</v>
          </cell>
          <cell r="F52" t="str">
            <v>S</v>
          </cell>
        </row>
        <row r="53">
          <cell r="C53">
            <v>230</v>
          </cell>
          <cell r="F53" t="str">
            <v>S</v>
          </cell>
          <cell r="G53">
            <v>37.5</v>
          </cell>
        </row>
        <row r="54">
          <cell r="C54">
            <v>230</v>
          </cell>
          <cell r="F54" t="str">
            <v>S</v>
          </cell>
          <cell r="G54">
            <v>37.5</v>
          </cell>
        </row>
        <row r="55">
          <cell r="C55">
            <v>230</v>
          </cell>
          <cell r="F55" t="str">
            <v>S</v>
          </cell>
          <cell r="G55">
            <v>84.49</v>
          </cell>
        </row>
        <row r="56">
          <cell r="C56">
            <v>230</v>
          </cell>
          <cell r="F56" t="str">
            <v>S</v>
          </cell>
          <cell r="G56">
            <v>84.49</v>
          </cell>
        </row>
        <row r="57">
          <cell r="C57">
            <v>230</v>
          </cell>
          <cell r="F57" t="str">
            <v>S</v>
          </cell>
          <cell r="G57">
            <v>24.33</v>
          </cell>
        </row>
        <row r="58">
          <cell r="C58" t="str">
            <v>TX</v>
          </cell>
          <cell r="F58" t="str">
            <v>S</v>
          </cell>
        </row>
        <row r="59">
          <cell r="C59" t="str">
            <v>TX</v>
          </cell>
          <cell r="F59" t="str">
            <v>S</v>
          </cell>
        </row>
        <row r="60">
          <cell r="C60" t="str">
            <v>TX</v>
          </cell>
          <cell r="F60" t="str">
            <v>S</v>
          </cell>
        </row>
        <row r="61">
          <cell r="C61">
            <v>115</v>
          </cell>
          <cell r="F61" t="str">
            <v>S</v>
          </cell>
          <cell r="G61">
            <v>25</v>
          </cell>
        </row>
        <row r="62">
          <cell r="C62">
            <v>115</v>
          </cell>
          <cell r="F62" t="str">
            <v>S</v>
          </cell>
          <cell r="G62">
            <v>25</v>
          </cell>
        </row>
        <row r="63">
          <cell r="C63" t="str">
            <v>TX</v>
          </cell>
          <cell r="F63" t="str">
            <v>S</v>
          </cell>
        </row>
        <row r="64">
          <cell r="C64" t="str">
            <v>TX</v>
          </cell>
          <cell r="F64" t="str">
            <v>S</v>
          </cell>
        </row>
        <row r="65">
          <cell r="C65" t="str">
            <v>TX</v>
          </cell>
          <cell r="F65" t="str">
            <v>S</v>
          </cell>
        </row>
        <row r="66">
          <cell r="C66" t="str">
            <v>TX</v>
          </cell>
          <cell r="F66" t="str">
            <v>S</v>
          </cell>
        </row>
        <row r="67">
          <cell r="C67" t="str">
            <v>TX</v>
          </cell>
          <cell r="F67" t="str">
            <v>S</v>
          </cell>
        </row>
        <row r="68">
          <cell r="C68" t="str">
            <v>TX</v>
          </cell>
          <cell r="F68" t="str">
            <v>S</v>
          </cell>
        </row>
        <row r="69">
          <cell r="C69">
            <v>230</v>
          </cell>
          <cell r="F69" t="str">
            <v>S</v>
          </cell>
          <cell r="G69">
            <v>29.75</v>
          </cell>
        </row>
        <row r="70">
          <cell r="C70">
            <v>115</v>
          </cell>
          <cell r="F70" t="str">
            <v>S</v>
          </cell>
          <cell r="G70">
            <v>46.6</v>
          </cell>
        </row>
        <row r="71">
          <cell r="C71">
            <v>115</v>
          </cell>
          <cell r="F71" t="str">
            <v>S</v>
          </cell>
          <cell r="G71">
            <v>46.6</v>
          </cell>
        </row>
        <row r="72">
          <cell r="C72">
            <v>115</v>
          </cell>
          <cell r="F72" t="str">
            <v>S</v>
          </cell>
          <cell r="G72">
            <v>31.5</v>
          </cell>
        </row>
        <row r="73">
          <cell r="C73">
            <v>115</v>
          </cell>
          <cell r="F73" t="str">
            <v>S</v>
          </cell>
          <cell r="G73">
            <v>6.2</v>
          </cell>
        </row>
        <row r="74">
          <cell r="C74">
            <v>115</v>
          </cell>
          <cell r="F74" t="str">
            <v>S</v>
          </cell>
          <cell r="G74">
            <v>0.8</v>
          </cell>
        </row>
        <row r="75">
          <cell r="C75">
            <v>115</v>
          </cell>
          <cell r="F75" t="str">
            <v>S</v>
          </cell>
          <cell r="G75">
            <v>16.7</v>
          </cell>
        </row>
        <row r="76">
          <cell r="C76">
            <v>230</v>
          </cell>
          <cell r="F76" t="str">
            <v>S</v>
          </cell>
          <cell r="G76">
            <v>16</v>
          </cell>
        </row>
        <row r="77">
          <cell r="C77">
            <v>230</v>
          </cell>
          <cell r="F77" t="str">
            <v>S</v>
          </cell>
          <cell r="G77">
            <v>96.87</v>
          </cell>
        </row>
        <row r="78">
          <cell r="C78">
            <v>230</v>
          </cell>
          <cell r="F78" t="str">
            <v>S</v>
          </cell>
          <cell r="G78">
            <v>49.14</v>
          </cell>
        </row>
        <row r="79">
          <cell r="C79">
            <v>230</v>
          </cell>
          <cell r="F79" t="str">
            <v>S</v>
          </cell>
          <cell r="G79">
            <v>57</v>
          </cell>
        </row>
        <row r="80">
          <cell r="C80">
            <v>115</v>
          </cell>
          <cell r="F80" t="str">
            <v>S</v>
          </cell>
          <cell r="G80">
            <v>6.2</v>
          </cell>
        </row>
        <row r="81">
          <cell r="C81">
            <v>230</v>
          </cell>
          <cell r="F81" t="str">
            <v>S</v>
          </cell>
          <cell r="G81">
            <v>84.3</v>
          </cell>
        </row>
        <row r="82">
          <cell r="C82">
            <v>230</v>
          </cell>
          <cell r="F82" t="str">
            <v>S</v>
          </cell>
          <cell r="G82">
            <v>84.3</v>
          </cell>
        </row>
        <row r="83">
          <cell r="C83">
            <v>230</v>
          </cell>
          <cell r="F83" t="str">
            <v>S</v>
          </cell>
          <cell r="G83">
            <v>42.3</v>
          </cell>
        </row>
        <row r="84">
          <cell r="C84">
            <v>230</v>
          </cell>
          <cell r="F84" t="str">
            <v>S</v>
          </cell>
          <cell r="G84">
            <v>42.3</v>
          </cell>
        </row>
        <row r="85">
          <cell r="C85">
            <v>230</v>
          </cell>
          <cell r="F85" t="str">
            <v>S</v>
          </cell>
          <cell r="G85">
            <v>6</v>
          </cell>
        </row>
        <row r="86">
          <cell r="C86">
            <v>230</v>
          </cell>
          <cell r="F86" t="str">
            <v>S</v>
          </cell>
          <cell r="G86">
            <v>1.4</v>
          </cell>
        </row>
        <row r="87">
          <cell r="C87">
            <v>230</v>
          </cell>
          <cell r="F87" t="str">
            <v>S</v>
          </cell>
          <cell r="G87">
            <v>24.88</v>
          </cell>
        </row>
        <row r="88">
          <cell r="C88">
            <v>230</v>
          </cell>
          <cell r="F88" t="str">
            <v>S</v>
          </cell>
          <cell r="G88">
            <v>76.650000000000006</v>
          </cell>
        </row>
        <row r="89">
          <cell r="C89" t="str">
            <v>TX</v>
          </cell>
          <cell r="F89" t="str">
            <v>S</v>
          </cell>
        </row>
        <row r="90">
          <cell r="C90" t="str">
            <v>TX</v>
          </cell>
          <cell r="F90" t="str">
            <v>S</v>
          </cell>
        </row>
        <row r="91">
          <cell r="C91" t="str">
            <v>TX</v>
          </cell>
          <cell r="F91" t="str">
            <v>S</v>
          </cell>
        </row>
        <row r="92">
          <cell r="C92">
            <v>230</v>
          </cell>
          <cell r="F92" t="str">
            <v>S</v>
          </cell>
          <cell r="G92">
            <v>44</v>
          </cell>
        </row>
        <row r="93">
          <cell r="C93">
            <v>230</v>
          </cell>
          <cell r="F93" t="str">
            <v>S</v>
          </cell>
          <cell r="G93">
            <v>114.98</v>
          </cell>
        </row>
        <row r="94">
          <cell r="C94">
            <v>230</v>
          </cell>
          <cell r="F94" t="str">
            <v>N</v>
          </cell>
          <cell r="G94">
            <v>48.55</v>
          </cell>
        </row>
        <row r="95">
          <cell r="C95">
            <v>230</v>
          </cell>
          <cell r="F95" t="str">
            <v>N</v>
          </cell>
          <cell r="G95">
            <v>48.55</v>
          </cell>
        </row>
      </sheetData>
      <sheetData sheetId="4"/>
      <sheetData sheetId="5">
        <row r="2">
          <cell r="L2">
            <v>11181.051490669599</v>
          </cell>
        </row>
        <row r="17">
          <cell r="L17">
            <v>9737.3291154014005</v>
          </cell>
        </row>
      </sheetData>
      <sheetData sheetId="6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Nod"/>
      <sheetName val="Ram"/>
      <sheetName val="%USO"/>
      <sheetName val="Dias"/>
      <sheetName val="ENERGIA"/>
      <sheetName val="ENERGIA (Cargos)"/>
      <sheetName val="1. DatosFijos"/>
    </sheetNames>
    <sheetDataSet>
      <sheetData sheetId="0"/>
      <sheetData sheetId="1" refreshError="1">
        <row r="2">
          <cell r="A2">
            <v>6001</v>
          </cell>
        </row>
        <row r="3">
          <cell r="A3">
            <v>6002</v>
          </cell>
          <cell r="B3">
            <v>115</v>
          </cell>
          <cell r="C3" t="str">
            <v>Panamá 115</v>
          </cell>
          <cell r="D3" t="str">
            <v>PAN115</v>
          </cell>
          <cell r="E3">
            <v>7</v>
          </cell>
        </row>
        <row r="4">
          <cell r="A4">
            <v>6003</v>
          </cell>
          <cell r="B4">
            <v>230</v>
          </cell>
          <cell r="C4" t="str">
            <v>Panamá II 230</v>
          </cell>
          <cell r="D4" t="str">
            <v>PANII230</v>
          </cell>
          <cell r="E4">
            <v>7</v>
          </cell>
        </row>
        <row r="5">
          <cell r="A5">
            <v>6004</v>
          </cell>
          <cell r="B5">
            <v>115</v>
          </cell>
          <cell r="C5" t="str">
            <v>Panamá II 115</v>
          </cell>
          <cell r="D5" t="str">
            <v>PANII115</v>
          </cell>
          <cell r="E5">
            <v>7</v>
          </cell>
        </row>
        <row r="6">
          <cell r="A6">
            <v>6005</v>
          </cell>
          <cell r="B6">
            <v>230</v>
          </cell>
          <cell r="C6" t="str">
            <v>Chorrera 230</v>
          </cell>
          <cell r="D6" t="str">
            <v>CHO230</v>
          </cell>
          <cell r="E6">
            <v>6</v>
          </cell>
        </row>
        <row r="7">
          <cell r="A7">
            <v>6008</v>
          </cell>
          <cell r="B7">
            <v>230</v>
          </cell>
          <cell r="C7" t="str">
            <v>Llano Sánchez 230</v>
          </cell>
          <cell r="D7" t="str">
            <v>LSA230</v>
          </cell>
          <cell r="E7">
            <v>5</v>
          </cell>
        </row>
        <row r="8">
          <cell r="A8">
            <v>6009</v>
          </cell>
          <cell r="B8">
            <v>115</v>
          </cell>
          <cell r="C8" t="str">
            <v>Llano Sánchez 115</v>
          </cell>
          <cell r="D8" t="str">
            <v>LSA115</v>
          </cell>
          <cell r="E8">
            <v>5</v>
          </cell>
        </row>
        <row r="9">
          <cell r="A9">
            <v>6010</v>
          </cell>
          <cell r="B9">
            <v>34.5</v>
          </cell>
          <cell r="C9" t="str">
            <v>Llano Sánchez 34.5</v>
          </cell>
          <cell r="D9" t="str">
            <v>LSA34</v>
          </cell>
          <cell r="E9">
            <v>5</v>
          </cell>
        </row>
        <row r="10">
          <cell r="A10">
            <v>6011</v>
          </cell>
          <cell r="B10">
            <v>230</v>
          </cell>
          <cell r="C10" t="str">
            <v>Mata de Nance 230</v>
          </cell>
          <cell r="D10" t="str">
            <v>MDN230</v>
          </cell>
          <cell r="E10">
            <v>4</v>
          </cell>
        </row>
        <row r="11">
          <cell r="A11">
            <v>6012</v>
          </cell>
          <cell r="B11">
            <v>115</v>
          </cell>
          <cell r="C11" t="str">
            <v>Mata de Nance 115</v>
          </cell>
          <cell r="D11" t="str">
            <v>MDN115</v>
          </cell>
          <cell r="E11">
            <v>4</v>
          </cell>
        </row>
        <row r="12">
          <cell r="A12">
            <v>6013</v>
          </cell>
          <cell r="B12">
            <v>34.5</v>
          </cell>
          <cell r="C12" t="str">
            <v>Mata de Nance 34.5</v>
          </cell>
          <cell r="D12" t="str">
            <v>MDN34</v>
          </cell>
          <cell r="E12">
            <v>4</v>
          </cell>
        </row>
        <row r="13">
          <cell r="A13">
            <v>6014</v>
          </cell>
          <cell r="B13">
            <v>230</v>
          </cell>
          <cell r="C13" t="str">
            <v>Progreso 230</v>
          </cell>
          <cell r="D13" t="str">
            <v>PRO230</v>
          </cell>
          <cell r="E13">
            <v>1</v>
          </cell>
        </row>
        <row r="14">
          <cell r="A14">
            <v>6018</v>
          </cell>
          <cell r="B14">
            <v>115</v>
          </cell>
          <cell r="C14" t="str">
            <v>Cáceres</v>
          </cell>
          <cell r="D14" t="str">
            <v>CAC115</v>
          </cell>
          <cell r="E14">
            <v>7</v>
          </cell>
        </row>
        <row r="15">
          <cell r="A15">
            <v>6024</v>
          </cell>
          <cell r="B15">
            <v>115</v>
          </cell>
          <cell r="C15" t="str">
            <v>Chilibre</v>
          </cell>
          <cell r="D15" t="str">
            <v>CHI115</v>
          </cell>
          <cell r="E15">
            <v>7</v>
          </cell>
        </row>
        <row r="16">
          <cell r="A16">
            <v>6059</v>
          </cell>
          <cell r="B16">
            <v>115</v>
          </cell>
          <cell r="C16" t="str">
            <v>Las Minas 1</v>
          </cell>
          <cell r="D16" t="str">
            <v>LM1115</v>
          </cell>
          <cell r="E16">
            <v>9</v>
          </cell>
        </row>
        <row r="17">
          <cell r="A17">
            <v>6060</v>
          </cell>
          <cell r="B17">
            <v>115</v>
          </cell>
          <cell r="C17" t="str">
            <v>Las Minas 2</v>
          </cell>
          <cell r="D17" t="str">
            <v>LM2115</v>
          </cell>
          <cell r="E17">
            <v>9</v>
          </cell>
        </row>
        <row r="18">
          <cell r="A18">
            <v>6087</v>
          </cell>
          <cell r="B18">
            <v>115</v>
          </cell>
          <cell r="C18" t="str">
            <v>Caldera</v>
          </cell>
          <cell r="D18" t="str">
            <v>CAL115</v>
          </cell>
          <cell r="E18">
            <v>3</v>
          </cell>
        </row>
        <row r="19">
          <cell r="A19">
            <v>6096</v>
          </cell>
          <cell r="B19">
            <v>230</v>
          </cell>
          <cell r="C19" t="str">
            <v>Fortuna</v>
          </cell>
          <cell r="D19" t="str">
            <v>FOR230</v>
          </cell>
          <cell r="E19">
            <v>2</v>
          </cell>
        </row>
        <row r="20">
          <cell r="A20">
            <v>6100</v>
          </cell>
          <cell r="B20">
            <v>230</v>
          </cell>
          <cell r="C20" t="str">
            <v>Bayano</v>
          </cell>
          <cell r="D20" t="str">
            <v>BAY230</v>
          </cell>
          <cell r="E20">
            <v>8</v>
          </cell>
        </row>
        <row r="21">
          <cell r="A21">
            <v>6170</v>
          </cell>
          <cell r="B21">
            <v>115</v>
          </cell>
          <cell r="C21" t="str">
            <v>Cemento Panamá</v>
          </cell>
          <cell r="D21" t="str">
            <v>CPA115</v>
          </cell>
          <cell r="E21">
            <v>9</v>
          </cell>
        </row>
        <row r="22">
          <cell r="A22">
            <v>6171</v>
          </cell>
          <cell r="B22">
            <v>230</v>
          </cell>
          <cell r="C22" t="str">
            <v>Pacora</v>
          </cell>
          <cell r="D22" t="str">
            <v>PAC230</v>
          </cell>
          <cell r="E22">
            <v>7</v>
          </cell>
        </row>
        <row r="23">
          <cell r="A23">
            <v>6173</v>
          </cell>
          <cell r="B23">
            <v>115</v>
          </cell>
          <cell r="C23" t="str">
            <v>Santa Rita</v>
          </cell>
          <cell r="D23" t="str">
            <v>STR115</v>
          </cell>
          <cell r="E23">
            <v>9</v>
          </cell>
        </row>
        <row r="24">
          <cell r="A24">
            <v>6179</v>
          </cell>
          <cell r="B24">
            <v>230</v>
          </cell>
          <cell r="C24" t="str">
            <v>Guasquitas</v>
          </cell>
          <cell r="D24" t="str">
            <v>GUA230</v>
          </cell>
          <cell r="E24">
            <v>2</v>
          </cell>
        </row>
        <row r="25">
          <cell r="A25">
            <v>6182</v>
          </cell>
          <cell r="B25">
            <v>230</v>
          </cell>
          <cell r="C25" t="str">
            <v>Veladero</v>
          </cell>
          <cell r="D25" t="str">
            <v>VEL230</v>
          </cell>
          <cell r="E25">
            <v>4</v>
          </cell>
        </row>
        <row r="26">
          <cell r="A26">
            <v>6240</v>
          </cell>
          <cell r="B26">
            <v>230</v>
          </cell>
          <cell r="C26" t="str">
            <v>El Higo</v>
          </cell>
          <cell r="D26" t="str">
            <v>EHIG230</v>
          </cell>
          <cell r="E26">
            <v>6</v>
          </cell>
        </row>
        <row r="27">
          <cell r="A27">
            <v>6243</v>
          </cell>
          <cell r="B27">
            <v>230</v>
          </cell>
          <cell r="C27" t="str">
            <v>Vista Hermosa</v>
          </cell>
          <cell r="D27" t="str">
            <v>VHE230</v>
          </cell>
          <cell r="E27">
            <v>7</v>
          </cell>
        </row>
        <row r="28">
          <cell r="A28">
            <v>6260</v>
          </cell>
          <cell r="B28">
            <v>230</v>
          </cell>
          <cell r="C28" t="str">
            <v>Changuinola</v>
          </cell>
          <cell r="D28" t="str">
            <v>CHA230</v>
          </cell>
          <cell r="E28">
            <v>10</v>
          </cell>
        </row>
        <row r="29">
          <cell r="A29">
            <v>6261</v>
          </cell>
          <cell r="B29">
            <v>115</v>
          </cell>
          <cell r="C29" t="str">
            <v>Changuinola 115</v>
          </cell>
          <cell r="D29" t="str">
            <v>CHA115</v>
          </cell>
          <cell r="E29">
            <v>10</v>
          </cell>
        </row>
        <row r="30">
          <cell r="A30">
            <v>6262</v>
          </cell>
          <cell r="B30">
            <v>34.5</v>
          </cell>
          <cell r="C30" t="str">
            <v>Changuinola 34.5</v>
          </cell>
          <cell r="D30" t="str">
            <v>CHA34</v>
          </cell>
          <cell r="E30">
            <v>10</v>
          </cell>
        </row>
        <row r="31">
          <cell r="A31">
            <v>6263</v>
          </cell>
          <cell r="B31">
            <v>230</v>
          </cell>
          <cell r="C31" t="str">
            <v>La Esperanza</v>
          </cell>
          <cell r="D31" t="str">
            <v>ESP230</v>
          </cell>
          <cell r="E31">
            <v>10</v>
          </cell>
        </row>
        <row r="32">
          <cell r="A32">
            <v>6290</v>
          </cell>
          <cell r="B32">
            <v>115</v>
          </cell>
          <cell r="C32" t="str">
            <v>Cativá II</v>
          </cell>
          <cell r="D32" t="str">
            <v>CATII115</v>
          </cell>
          <cell r="E32">
            <v>9</v>
          </cell>
        </row>
        <row r="33">
          <cell r="A33">
            <v>6340</v>
          </cell>
          <cell r="B33">
            <v>230</v>
          </cell>
          <cell r="C33" t="str">
            <v>Cañazas</v>
          </cell>
          <cell r="D33" t="str">
            <v>CAN230</v>
          </cell>
          <cell r="E33">
            <v>10</v>
          </cell>
        </row>
        <row r="34">
          <cell r="A34">
            <v>6380</v>
          </cell>
          <cell r="B34">
            <v>230</v>
          </cell>
          <cell r="C34" t="str">
            <v>Boquerón III</v>
          </cell>
          <cell r="D34" t="str">
            <v>BOQIII230</v>
          </cell>
          <cell r="E34">
            <v>4</v>
          </cell>
        </row>
        <row r="35">
          <cell r="A35">
            <v>6460</v>
          </cell>
          <cell r="B35">
            <v>230</v>
          </cell>
          <cell r="C35" t="str">
            <v>El Coco</v>
          </cell>
          <cell r="D35" t="str">
            <v>ECO230</v>
          </cell>
          <cell r="E35">
            <v>5</v>
          </cell>
        </row>
        <row r="36">
          <cell r="A36">
            <v>6470</v>
          </cell>
          <cell r="B36">
            <v>230</v>
          </cell>
          <cell r="C36" t="str">
            <v>24 de Diciembre</v>
          </cell>
          <cell r="D36" t="str">
            <v>24DIC230</v>
          </cell>
          <cell r="E36">
            <v>7</v>
          </cell>
        </row>
        <row r="37">
          <cell r="A37">
            <v>6520</v>
          </cell>
          <cell r="B37">
            <v>230</v>
          </cell>
          <cell r="C37" t="str">
            <v>San Bartolo</v>
          </cell>
          <cell r="D37" t="str">
            <v>SBA34</v>
          </cell>
          <cell r="E37">
            <v>4</v>
          </cell>
        </row>
        <row r="38">
          <cell r="A38">
            <v>6550</v>
          </cell>
          <cell r="B38">
            <v>230</v>
          </cell>
          <cell r="C38" t="str">
            <v>Bella Vista</v>
          </cell>
          <cell r="D38" t="str">
            <v>BEV230</v>
          </cell>
          <cell r="E38">
            <v>4</v>
          </cell>
        </row>
        <row r="39">
          <cell r="A39">
            <v>6713</v>
          </cell>
          <cell r="B39">
            <v>230</v>
          </cell>
          <cell r="C39" t="str">
            <v>Burunga</v>
          </cell>
          <cell r="D39" t="str">
            <v>BUR230</v>
          </cell>
          <cell r="E39">
            <v>6</v>
          </cell>
        </row>
        <row r="40">
          <cell r="A40">
            <v>6801</v>
          </cell>
          <cell r="B40">
            <v>230</v>
          </cell>
          <cell r="C40" t="str">
            <v>Costa Norte</v>
          </cell>
          <cell r="D40" t="str">
            <v>CNO230</v>
          </cell>
          <cell r="E40">
            <v>9</v>
          </cell>
        </row>
        <row r="41">
          <cell r="A41">
            <v>7000</v>
          </cell>
          <cell r="B41">
            <v>230</v>
          </cell>
          <cell r="C41" t="str">
            <v>T1-Panama</v>
          </cell>
          <cell r="D41" t="str">
            <v>T1-PAN</v>
          </cell>
          <cell r="E41">
            <v>7</v>
          </cell>
        </row>
        <row r="42">
          <cell r="A42">
            <v>7001</v>
          </cell>
          <cell r="C42" t="str">
            <v>T2-Panama</v>
          </cell>
          <cell r="D42" t="str">
            <v>T2-PAN</v>
          </cell>
          <cell r="E42">
            <v>7</v>
          </cell>
        </row>
        <row r="43">
          <cell r="A43">
            <v>7002</v>
          </cell>
          <cell r="C43" t="str">
            <v>T3-Panama</v>
          </cell>
          <cell r="D43" t="str">
            <v>T3-PAN</v>
          </cell>
          <cell r="E43">
            <v>7</v>
          </cell>
        </row>
        <row r="44">
          <cell r="A44">
            <v>7003</v>
          </cell>
          <cell r="C44" t="str">
            <v>T5-Panama</v>
          </cell>
          <cell r="D44" t="str">
            <v>T5-PAN</v>
          </cell>
          <cell r="E44">
            <v>7</v>
          </cell>
        </row>
        <row r="45">
          <cell r="A45">
            <v>7004</v>
          </cell>
          <cell r="C45" t="str">
            <v>T1-PanamaII</v>
          </cell>
          <cell r="D45" t="str">
            <v>T1-PANII</v>
          </cell>
          <cell r="E45">
            <v>7</v>
          </cell>
        </row>
        <row r="46">
          <cell r="A46">
            <v>7005</v>
          </cell>
          <cell r="C46" t="str">
            <v>T2-PanamaII</v>
          </cell>
          <cell r="D46" t="str">
            <v>T2-PANII</v>
          </cell>
          <cell r="E46">
            <v>7</v>
          </cell>
        </row>
        <row r="47">
          <cell r="A47">
            <v>7006</v>
          </cell>
          <cell r="C47" t="str">
            <v>T3-PanamaII</v>
          </cell>
          <cell r="D47" t="str">
            <v>T3-PANII</v>
          </cell>
          <cell r="E47">
            <v>7</v>
          </cell>
        </row>
        <row r="48">
          <cell r="A48">
            <v>7007</v>
          </cell>
          <cell r="C48" t="str">
            <v>T1-Chorrera</v>
          </cell>
          <cell r="D48" t="str">
            <v>T1-CHO</v>
          </cell>
          <cell r="E48">
            <v>6</v>
          </cell>
        </row>
        <row r="49">
          <cell r="A49">
            <v>7008</v>
          </cell>
          <cell r="C49" t="str">
            <v>T2-Chorrera</v>
          </cell>
          <cell r="D49" t="str">
            <v>T2-CHO</v>
          </cell>
          <cell r="E49">
            <v>6</v>
          </cell>
        </row>
        <row r="50">
          <cell r="A50">
            <v>7009</v>
          </cell>
          <cell r="C50" t="str">
            <v>T3-Chorrera</v>
          </cell>
          <cell r="D50" t="str">
            <v>T3-CHO</v>
          </cell>
          <cell r="E50">
            <v>6</v>
          </cell>
        </row>
        <row r="51">
          <cell r="A51">
            <v>7010</v>
          </cell>
          <cell r="C51" t="str">
            <v>T1-Llano Sanchez</v>
          </cell>
          <cell r="D51" t="str">
            <v>T1-LSA</v>
          </cell>
          <cell r="E51">
            <v>5</v>
          </cell>
        </row>
        <row r="52">
          <cell r="A52">
            <v>7011</v>
          </cell>
          <cell r="C52" t="str">
            <v>T2-Llano Sanchez</v>
          </cell>
          <cell r="D52" t="str">
            <v>T2-LSA</v>
          </cell>
          <cell r="E52">
            <v>5</v>
          </cell>
        </row>
        <row r="53">
          <cell r="A53">
            <v>7012</v>
          </cell>
          <cell r="C53" t="str">
            <v>T3-Llano Sanchez</v>
          </cell>
          <cell r="D53" t="str">
            <v>T3-LSA</v>
          </cell>
          <cell r="E53">
            <v>5</v>
          </cell>
        </row>
        <row r="54">
          <cell r="A54">
            <v>7013</v>
          </cell>
          <cell r="C54" t="str">
            <v>T1-Mata de Nance</v>
          </cell>
          <cell r="D54" t="str">
            <v>T1-MDN</v>
          </cell>
          <cell r="E54">
            <v>4</v>
          </cell>
        </row>
        <row r="55">
          <cell r="A55">
            <v>7014</v>
          </cell>
          <cell r="C55" t="str">
            <v>T2-Mata de Nance</v>
          </cell>
          <cell r="D55" t="str">
            <v>T2-MDN</v>
          </cell>
          <cell r="E55">
            <v>4</v>
          </cell>
        </row>
        <row r="56">
          <cell r="A56">
            <v>7015</v>
          </cell>
          <cell r="C56" t="str">
            <v>T3-Mata de Nance</v>
          </cell>
          <cell r="D56" t="str">
            <v>T3-MDN</v>
          </cell>
          <cell r="E56">
            <v>5</v>
          </cell>
        </row>
        <row r="57">
          <cell r="A57">
            <v>7016</v>
          </cell>
          <cell r="C57" t="str">
            <v>T1-Changuinola</v>
          </cell>
          <cell r="D57" t="str">
            <v>T1-CHA</v>
          </cell>
          <cell r="E57">
            <v>10</v>
          </cell>
        </row>
        <row r="58">
          <cell r="A58">
            <v>7016</v>
          </cell>
          <cell r="C58" t="str">
            <v>T1-Changuinola</v>
          </cell>
          <cell r="D58" t="str">
            <v>T1-CHA</v>
          </cell>
          <cell r="E58">
            <v>10</v>
          </cell>
        </row>
      </sheetData>
      <sheetData sheetId="2">
        <row r="2">
          <cell r="A2">
            <v>6001</v>
          </cell>
        </row>
      </sheetData>
      <sheetData sheetId="3"/>
      <sheetData sheetId="4"/>
      <sheetData sheetId="5" refreshError="1"/>
      <sheetData sheetId="6"/>
      <sheetData sheetId="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l21"/>
      <sheetName val="ago21"/>
      <sheetName val="sep21"/>
      <sheetName val="oct21"/>
      <sheetName val="nov21"/>
      <sheetName val="dic21"/>
      <sheetName val="ene22"/>
      <sheetName val="feb22"/>
      <sheetName val="mar22"/>
      <sheetName val="abr22"/>
      <sheetName val="may22"/>
      <sheetName val="jun22"/>
      <sheetName val="Resumen"/>
      <sheetName val="Resumen Modelo"/>
      <sheetName val="Grandes Clie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>
        <row r="9">
          <cell r="G9">
            <v>14.47</v>
          </cell>
          <cell r="H9">
            <v>16.75</v>
          </cell>
          <cell r="I9">
            <v>17.5</v>
          </cell>
          <cell r="J9">
            <v>15.41</v>
          </cell>
          <cell r="K9">
            <v>14.94</v>
          </cell>
          <cell r="L9">
            <v>22.37</v>
          </cell>
          <cell r="M9">
            <v>16.68</v>
          </cell>
          <cell r="N9">
            <v>16.38</v>
          </cell>
          <cell r="O9">
            <v>18.62</v>
          </cell>
          <cell r="P9">
            <v>16.329999999999998</v>
          </cell>
          <cell r="Q9">
            <v>15.68</v>
          </cell>
          <cell r="R9">
            <v>14.3</v>
          </cell>
        </row>
        <row r="10">
          <cell r="G10">
            <v>0.54</v>
          </cell>
          <cell r="H10">
            <v>0.95</v>
          </cell>
          <cell r="I10">
            <v>0.88</v>
          </cell>
          <cell r="J10">
            <v>1</v>
          </cell>
          <cell r="K10">
            <v>0.92</v>
          </cell>
          <cell r="L10">
            <v>0.62</v>
          </cell>
          <cell r="M10">
            <v>0.68</v>
          </cell>
          <cell r="N10">
            <v>0.84</v>
          </cell>
          <cell r="O10">
            <v>0.86</v>
          </cell>
          <cell r="P10">
            <v>0.59</v>
          </cell>
          <cell r="Q10">
            <v>0.63</v>
          </cell>
          <cell r="R10">
            <v>0.6</v>
          </cell>
        </row>
        <row r="11">
          <cell r="G11"/>
          <cell r="H11"/>
          <cell r="I11"/>
          <cell r="J11"/>
          <cell r="K11"/>
          <cell r="L11"/>
          <cell r="M11"/>
          <cell r="N11"/>
          <cell r="O11"/>
          <cell r="P11"/>
          <cell r="Q11"/>
          <cell r="R11"/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</row>
        <row r="14">
          <cell r="H14">
            <v>0.1</v>
          </cell>
          <cell r="I14">
            <v>0.09</v>
          </cell>
          <cell r="J14">
            <v>0.1</v>
          </cell>
          <cell r="K14">
            <v>0.06</v>
          </cell>
          <cell r="L14">
            <v>0.06</v>
          </cell>
          <cell r="M14">
            <v>0.09</v>
          </cell>
          <cell r="N14">
            <v>0.1</v>
          </cell>
          <cell r="O14">
            <v>0.06</v>
          </cell>
          <cell r="P14">
            <v>0.1</v>
          </cell>
          <cell r="Q14">
            <v>0.09</v>
          </cell>
          <cell r="R14">
            <v>0.09</v>
          </cell>
        </row>
        <row r="15">
          <cell r="G15"/>
          <cell r="H15"/>
          <cell r="I15"/>
          <cell r="J15"/>
          <cell r="K15"/>
          <cell r="L15"/>
          <cell r="M15"/>
          <cell r="N15"/>
          <cell r="O15"/>
          <cell r="P15"/>
          <cell r="Q15"/>
          <cell r="R15"/>
        </row>
        <row r="16">
          <cell r="G16">
            <v>0.06</v>
          </cell>
          <cell r="H16">
            <v>0.1</v>
          </cell>
          <cell r="I16">
            <v>0.09</v>
          </cell>
          <cell r="J16">
            <v>0.1</v>
          </cell>
          <cell r="K16">
            <v>0.06</v>
          </cell>
          <cell r="L16">
            <v>0.06</v>
          </cell>
          <cell r="M16">
            <v>0.09</v>
          </cell>
          <cell r="N16">
            <v>0.1</v>
          </cell>
          <cell r="O16">
            <v>0.06</v>
          </cell>
          <cell r="P16">
            <v>0.1</v>
          </cell>
          <cell r="Q16">
            <v>0.09</v>
          </cell>
          <cell r="R16">
            <v>0.09</v>
          </cell>
        </row>
        <row r="17">
          <cell r="G17"/>
          <cell r="H17"/>
          <cell r="I17"/>
          <cell r="J17"/>
          <cell r="K17"/>
          <cell r="L17"/>
          <cell r="M17"/>
          <cell r="N17"/>
          <cell r="O17"/>
          <cell r="P17"/>
          <cell r="Q17"/>
          <cell r="R17"/>
        </row>
        <row r="18">
          <cell r="H18">
            <v>115.74</v>
          </cell>
          <cell r="I18">
            <v>111.65</v>
          </cell>
          <cell r="J18">
            <v>114.88</v>
          </cell>
          <cell r="K18">
            <v>112.52</v>
          </cell>
          <cell r="L18">
            <v>107.92</v>
          </cell>
          <cell r="M18">
            <v>101.83</v>
          </cell>
          <cell r="N18">
            <v>103.17</v>
          </cell>
          <cell r="O18">
            <v>122.86</v>
          </cell>
          <cell r="P18">
            <v>121.6</v>
          </cell>
          <cell r="Q18">
            <v>112.16</v>
          </cell>
          <cell r="R18">
            <v>103.78</v>
          </cell>
        </row>
        <row r="19">
          <cell r="G19"/>
          <cell r="H19"/>
          <cell r="I19"/>
          <cell r="J19"/>
          <cell r="K19"/>
          <cell r="L19"/>
          <cell r="M19"/>
          <cell r="N19"/>
          <cell r="O19"/>
          <cell r="P19"/>
          <cell r="Q19"/>
          <cell r="R19"/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</row>
        <row r="21">
          <cell r="G21">
            <v>106.53</v>
          </cell>
          <cell r="H21">
            <v>115.74</v>
          </cell>
          <cell r="I21">
            <v>111.65</v>
          </cell>
          <cell r="J21">
            <v>114.88</v>
          </cell>
          <cell r="K21">
            <v>112.52</v>
          </cell>
          <cell r="L21">
            <v>107.92</v>
          </cell>
          <cell r="M21">
            <v>101.83</v>
          </cell>
          <cell r="N21">
            <v>103.17</v>
          </cell>
          <cell r="O21">
            <v>122.86</v>
          </cell>
          <cell r="P21">
            <v>121.6</v>
          </cell>
          <cell r="Q21">
            <v>112.16</v>
          </cell>
          <cell r="R21">
            <v>103.78</v>
          </cell>
        </row>
        <row r="22"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</row>
        <row r="23">
          <cell r="H23">
            <v>417.63</v>
          </cell>
          <cell r="I23">
            <v>368.07</v>
          </cell>
          <cell r="J23">
            <v>313.58000000000004</v>
          </cell>
          <cell r="K23">
            <v>431.88</v>
          </cell>
          <cell r="L23">
            <v>562.75</v>
          </cell>
          <cell r="M23">
            <v>444.62</v>
          </cell>
          <cell r="N23">
            <v>445.64</v>
          </cell>
          <cell r="O23">
            <v>506.90999999999997</v>
          </cell>
          <cell r="P23">
            <v>466.95</v>
          </cell>
          <cell r="Q23">
            <v>360.34</v>
          </cell>
          <cell r="R23">
            <v>383.80999999999995</v>
          </cell>
        </row>
        <row r="24">
          <cell r="G24"/>
          <cell r="H24"/>
          <cell r="I24"/>
          <cell r="J24"/>
          <cell r="K24"/>
          <cell r="L24"/>
          <cell r="M24"/>
          <cell r="N24"/>
          <cell r="O24"/>
          <cell r="P24"/>
          <cell r="Q24"/>
          <cell r="R24"/>
        </row>
        <row r="25">
          <cell r="G25">
            <v>254.52</v>
          </cell>
          <cell r="H25">
            <v>251.24</v>
          </cell>
          <cell r="I25">
            <v>208.62</v>
          </cell>
          <cell r="J25">
            <v>238.6</v>
          </cell>
          <cell r="K25">
            <v>260.77</v>
          </cell>
          <cell r="L25">
            <v>289.83</v>
          </cell>
          <cell r="M25">
            <v>261.27999999999997</v>
          </cell>
          <cell r="N25">
            <v>269.32</v>
          </cell>
          <cell r="O25">
            <v>275.69</v>
          </cell>
          <cell r="P25">
            <v>293.06</v>
          </cell>
          <cell r="Q25">
            <v>267.05</v>
          </cell>
          <cell r="R25">
            <v>247.46</v>
          </cell>
        </row>
        <row r="26">
          <cell r="G26"/>
          <cell r="H26"/>
          <cell r="I26"/>
          <cell r="J26"/>
          <cell r="K26"/>
          <cell r="L26"/>
          <cell r="M26"/>
          <cell r="N26"/>
          <cell r="O26"/>
          <cell r="P26"/>
          <cell r="Q26"/>
          <cell r="R26"/>
        </row>
        <row r="27">
          <cell r="G27">
            <v>0.82000000000000006</v>
          </cell>
          <cell r="H27">
            <v>0.8</v>
          </cell>
          <cell r="I27">
            <v>0.76</v>
          </cell>
          <cell r="J27">
            <v>0.74</v>
          </cell>
          <cell r="K27">
            <v>0.8</v>
          </cell>
          <cell r="L27">
            <v>0.83000000000000007</v>
          </cell>
          <cell r="M27">
            <v>0.79</v>
          </cell>
          <cell r="N27">
            <v>0.8</v>
          </cell>
          <cell r="O27">
            <v>0.81</v>
          </cell>
          <cell r="P27">
            <v>0.83000000000000007</v>
          </cell>
          <cell r="Q27">
            <v>0.76</v>
          </cell>
          <cell r="R27">
            <v>0.7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29">
          <cell r="G29">
            <v>0.74</v>
          </cell>
          <cell r="H29">
            <v>0.74</v>
          </cell>
          <cell r="I29">
            <v>0.69</v>
          </cell>
          <cell r="J29">
            <v>0.68</v>
          </cell>
          <cell r="K29">
            <v>0.66</v>
          </cell>
          <cell r="L29">
            <v>0.79</v>
          </cell>
          <cell r="M29">
            <v>0.78</v>
          </cell>
          <cell r="N29">
            <v>0.78</v>
          </cell>
          <cell r="O29">
            <v>0.77</v>
          </cell>
          <cell r="P29">
            <v>1.37</v>
          </cell>
          <cell r="Q29">
            <v>0.71</v>
          </cell>
          <cell r="R29">
            <v>0.76</v>
          </cell>
        </row>
        <row r="30"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</row>
        <row r="31">
          <cell r="G31">
            <v>187.22</v>
          </cell>
          <cell r="H31">
            <v>164.85</v>
          </cell>
          <cell r="I31">
            <v>158</v>
          </cell>
          <cell r="J31">
            <v>73.56</v>
          </cell>
          <cell r="K31">
            <v>169.65</v>
          </cell>
          <cell r="L31">
            <v>271.3</v>
          </cell>
          <cell r="M31">
            <v>181.77</v>
          </cell>
          <cell r="N31">
            <v>174.74</v>
          </cell>
          <cell r="O31">
            <v>229.64</v>
          </cell>
          <cell r="P31">
            <v>171.69</v>
          </cell>
          <cell r="Q31">
            <v>91.82</v>
          </cell>
          <cell r="R31">
            <v>134.88999999999999</v>
          </cell>
        </row>
        <row r="32"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</row>
        <row r="33">
          <cell r="G33">
            <v>169.91</v>
          </cell>
          <cell r="H33">
            <v>171.82</v>
          </cell>
          <cell r="I33">
            <v>168.95999999999998</v>
          </cell>
          <cell r="J33">
            <v>164.78</v>
          </cell>
          <cell r="K33">
            <v>163.92999999999998</v>
          </cell>
          <cell r="L33">
            <v>172.06</v>
          </cell>
          <cell r="M33">
            <v>158.99</v>
          </cell>
          <cell r="N33">
            <v>166.59</v>
          </cell>
          <cell r="O33">
            <v>165.61</v>
          </cell>
          <cell r="P33">
            <v>174.70999999999998</v>
          </cell>
          <cell r="Q33">
            <v>183.22000000000003</v>
          </cell>
          <cell r="R33">
            <v>166.1</v>
          </cell>
        </row>
        <row r="34"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</row>
        <row r="35">
          <cell r="G35">
            <v>167.57</v>
          </cell>
          <cell r="H35">
            <v>169.48</v>
          </cell>
          <cell r="I35">
            <v>166.6</v>
          </cell>
          <cell r="J35">
            <v>162.41999999999999</v>
          </cell>
          <cell r="K35">
            <v>161.57</v>
          </cell>
          <cell r="L35">
            <v>169.74</v>
          </cell>
          <cell r="M35">
            <v>156.68</v>
          </cell>
          <cell r="N35">
            <v>164.28</v>
          </cell>
          <cell r="O35">
            <v>163.30000000000001</v>
          </cell>
          <cell r="P35">
            <v>172.39</v>
          </cell>
          <cell r="Q35">
            <v>180.9</v>
          </cell>
          <cell r="R35">
            <v>163.80000000000001</v>
          </cell>
        </row>
        <row r="36"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</row>
        <row r="37">
          <cell r="G37">
            <v>0.23</v>
          </cell>
          <cell r="H37">
            <v>0.22</v>
          </cell>
          <cell r="I37">
            <v>0.23</v>
          </cell>
          <cell r="J37">
            <v>0.24</v>
          </cell>
          <cell r="K37">
            <v>0.23</v>
          </cell>
          <cell r="L37">
            <v>0.22</v>
          </cell>
          <cell r="M37">
            <v>0.21</v>
          </cell>
          <cell r="N37">
            <v>0.21</v>
          </cell>
          <cell r="O37">
            <v>0.22</v>
          </cell>
          <cell r="P37">
            <v>0.22</v>
          </cell>
          <cell r="Q37">
            <v>0.24</v>
          </cell>
          <cell r="R37">
            <v>0.23</v>
          </cell>
        </row>
        <row r="38">
          <cell r="G38">
            <v>2.11</v>
          </cell>
          <cell r="H38">
            <v>2.12</v>
          </cell>
          <cell r="I38">
            <v>2.13</v>
          </cell>
          <cell r="J38">
            <v>2.12</v>
          </cell>
          <cell r="K38">
            <v>2.13</v>
          </cell>
          <cell r="L38">
            <v>2.1</v>
          </cell>
          <cell r="M38">
            <v>2.1</v>
          </cell>
          <cell r="N38">
            <v>2.1</v>
          </cell>
          <cell r="O38">
            <v>2.09</v>
          </cell>
          <cell r="P38">
            <v>2.1</v>
          </cell>
          <cell r="Q38">
            <v>2.08</v>
          </cell>
          <cell r="R38">
            <v>2.0699999999999998</v>
          </cell>
        </row>
        <row r="39"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</row>
        <row r="40">
          <cell r="H40">
            <v>959.91906199999983</v>
          </cell>
          <cell r="I40">
            <v>994.09</v>
          </cell>
          <cell r="J40">
            <v>959.99000000000012</v>
          </cell>
          <cell r="K40">
            <v>945.60316999999986</v>
          </cell>
          <cell r="L40">
            <v>983.06346300000007</v>
          </cell>
          <cell r="M40">
            <v>936.54365600000006</v>
          </cell>
          <cell r="N40">
            <v>988.36840299999994</v>
          </cell>
          <cell r="O40">
            <v>990.61628500000006</v>
          </cell>
          <cell r="P40">
            <v>1014.5791169999999</v>
          </cell>
          <cell r="Q40">
            <v>1006.6427959999999</v>
          </cell>
          <cell r="R40">
            <v>971.30811699999992</v>
          </cell>
        </row>
        <row r="41"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</row>
        <row r="42">
          <cell r="G42">
            <v>156.68</v>
          </cell>
          <cell r="H42">
            <v>197.59</v>
          </cell>
          <cell r="I42">
            <v>220.1</v>
          </cell>
          <cell r="J42">
            <v>214.22</v>
          </cell>
          <cell r="K42">
            <v>201.61</v>
          </cell>
          <cell r="L42">
            <v>206.85</v>
          </cell>
          <cell r="M42">
            <v>196.97</v>
          </cell>
          <cell r="N42">
            <v>234.46</v>
          </cell>
          <cell r="O42">
            <v>201.8</v>
          </cell>
          <cell r="P42">
            <v>204.83</v>
          </cell>
          <cell r="Q42">
            <v>206.8</v>
          </cell>
          <cell r="R42">
            <v>192.96</v>
          </cell>
        </row>
        <row r="43">
          <cell r="G43">
            <v>225.18</v>
          </cell>
          <cell r="H43">
            <v>270.56</v>
          </cell>
          <cell r="I43">
            <v>269.77</v>
          </cell>
          <cell r="J43">
            <v>259.47000000000003</v>
          </cell>
          <cell r="K43">
            <v>262.16000000000003</v>
          </cell>
          <cell r="L43">
            <v>275.49</v>
          </cell>
          <cell r="M43">
            <v>267.87</v>
          </cell>
          <cell r="N43">
            <v>270.51</v>
          </cell>
          <cell r="O43">
            <v>284.16000000000003</v>
          </cell>
          <cell r="P43">
            <v>308.05</v>
          </cell>
          <cell r="Q43">
            <v>289.77999999999997</v>
          </cell>
          <cell r="R43">
            <v>295.33</v>
          </cell>
        </row>
        <row r="44">
          <cell r="G44">
            <v>63.008277</v>
          </cell>
          <cell r="H44">
            <v>57.199061999999998</v>
          </cell>
          <cell r="I44">
            <v>67.400000000000006</v>
          </cell>
          <cell r="J44">
            <v>51.13</v>
          </cell>
          <cell r="K44">
            <v>55.45317</v>
          </cell>
          <cell r="L44">
            <v>51.683463000000003</v>
          </cell>
          <cell r="M44">
            <v>52.453655999999995</v>
          </cell>
          <cell r="N44">
            <v>53.318403000000004</v>
          </cell>
          <cell r="O44">
            <v>63.226284999999997</v>
          </cell>
          <cell r="P44">
            <v>55.339117000000002</v>
          </cell>
          <cell r="Q44">
            <v>54.922795999999998</v>
          </cell>
          <cell r="R44">
            <v>53.088116999999997</v>
          </cell>
        </row>
        <row r="45"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</row>
        <row r="46"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</row>
        <row r="47">
          <cell r="G47">
            <v>411.89</v>
          </cell>
          <cell r="H47">
            <v>409.8</v>
          </cell>
          <cell r="I47">
            <v>411.8</v>
          </cell>
          <cell r="J47">
            <v>410.14</v>
          </cell>
          <cell r="K47">
            <v>401.64</v>
          </cell>
          <cell r="L47">
            <v>411.4</v>
          </cell>
          <cell r="M47">
            <v>398.15</v>
          </cell>
          <cell r="N47">
            <v>409.06</v>
          </cell>
          <cell r="O47">
            <v>418.17</v>
          </cell>
          <cell r="P47">
            <v>424.91</v>
          </cell>
          <cell r="Q47">
            <v>433.52</v>
          </cell>
          <cell r="R47">
            <v>408.09</v>
          </cell>
        </row>
        <row r="48"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</row>
        <row r="49">
          <cell r="G49">
            <v>18.649999999999999</v>
          </cell>
          <cell r="H49">
            <v>15.14</v>
          </cell>
          <cell r="I49">
            <v>15.31</v>
          </cell>
          <cell r="J49">
            <v>15.36</v>
          </cell>
          <cell r="K49">
            <v>15.05</v>
          </cell>
          <cell r="L49">
            <v>27.89</v>
          </cell>
          <cell r="M49">
            <v>14.23</v>
          </cell>
          <cell r="N49">
            <v>14.11</v>
          </cell>
          <cell r="O49">
            <v>16.34</v>
          </cell>
          <cell r="P49">
            <v>14.51</v>
          </cell>
          <cell r="Q49">
            <v>14.52</v>
          </cell>
          <cell r="R49">
            <v>14.93</v>
          </cell>
        </row>
        <row r="50">
          <cell r="G50">
            <v>0.76</v>
          </cell>
          <cell r="H50">
            <v>0.76</v>
          </cell>
          <cell r="I50">
            <v>0.74</v>
          </cell>
          <cell r="J50">
            <v>0.75</v>
          </cell>
          <cell r="K50">
            <v>0.73</v>
          </cell>
          <cell r="L50">
            <v>0.74</v>
          </cell>
          <cell r="M50">
            <v>0.74</v>
          </cell>
          <cell r="N50">
            <v>0.74</v>
          </cell>
          <cell r="O50">
            <v>0.75</v>
          </cell>
          <cell r="P50">
            <v>0.76</v>
          </cell>
          <cell r="Q50">
            <v>0.81</v>
          </cell>
          <cell r="R50">
            <v>0.72</v>
          </cell>
        </row>
        <row r="51">
          <cell r="G51">
            <v>3.4299999999999997</v>
          </cell>
          <cell r="H51">
            <v>3.3100000000000005</v>
          </cell>
          <cell r="I51">
            <v>3.37</v>
          </cell>
          <cell r="J51">
            <v>3.3200000000000003</v>
          </cell>
          <cell r="K51">
            <v>3.2800000000000007</v>
          </cell>
          <cell r="L51">
            <v>3.38</v>
          </cell>
          <cell r="M51">
            <v>3.25</v>
          </cell>
          <cell r="N51">
            <v>3.2800000000000002</v>
          </cell>
          <cell r="O51">
            <v>3.27</v>
          </cell>
          <cell r="P51">
            <v>3.3100000000000005</v>
          </cell>
          <cell r="Q51">
            <v>3.2900000000000005</v>
          </cell>
          <cell r="R51">
            <v>3.2300000000000004</v>
          </cell>
        </row>
        <row r="52">
          <cell r="G52">
            <v>1.2</v>
          </cell>
          <cell r="H52">
            <v>1.1599999999999999</v>
          </cell>
          <cell r="I52">
            <v>1.19</v>
          </cell>
          <cell r="J52">
            <v>1.18</v>
          </cell>
          <cell r="K52">
            <v>1.17</v>
          </cell>
          <cell r="L52">
            <v>1.2</v>
          </cell>
          <cell r="M52">
            <v>1.2</v>
          </cell>
          <cell r="N52">
            <v>1.22</v>
          </cell>
          <cell r="O52">
            <v>1.22</v>
          </cell>
          <cell r="P52">
            <v>1.22</v>
          </cell>
          <cell r="Q52">
            <v>1.25</v>
          </cell>
          <cell r="R52">
            <v>1.24</v>
          </cell>
        </row>
        <row r="53">
          <cell r="G53">
            <v>0.15</v>
          </cell>
          <cell r="H53">
            <v>0.15</v>
          </cell>
          <cell r="I53">
            <v>0.15</v>
          </cell>
          <cell r="J53">
            <v>0.15</v>
          </cell>
          <cell r="K53">
            <v>0.17</v>
          </cell>
          <cell r="L53">
            <v>0.16</v>
          </cell>
          <cell r="M53">
            <v>0.16</v>
          </cell>
          <cell r="N53">
            <v>0.17</v>
          </cell>
          <cell r="O53">
            <v>0.16</v>
          </cell>
          <cell r="P53">
            <v>0.16</v>
          </cell>
          <cell r="Q53">
            <v>0.16</v>
          </cell>
          <cell r="R53">
            <v>0.15</v>
          </cell>
        </row>
        <row r="54">
          <cell r="G54">
            <v>1.18</v>
          </cell>
          <cell r="H54">
            <v>1.1599999999999999</v>
          </cell>
          <cell r="I54">
            <v>1.2</v>
          </cell>
          <cell r="J54">
            <v>1.2</v>
          </cell>
          <cell r="K54">
            <v>1.29</v>
          </cell>
          <cell r="L54">
            <v>1.21</v>
          </cell>
          <cell r="M54">
            <v>1.17</v>
          </cell>
          <cell r="N54">
            <v>1.18</v>
          </cell>
          <cell r="O54">
            <v>1.1599999999999999</v>
          </cell>
          <cell r="P54">
            <v>1.1599999999999999</v>
          </cell>
          <cell r="Q54">
            <v>1.25</v>
          </cell>
          <cell r="R54">
            <v>1.2</v>
          </cell>
        </row>
        <row r="55">
          <cell r="G55">
            <v>2.79</v>
          </cell>
          <cell r="H55">
            <v>2.75</v>
          </cell>
          <cell r="I55">
            <v>2.71</v>
          </cell>
          <cell r="J55">
            <v>2.71</v>
          </cell>
          <cell r="K55">
            <v>2.71</v>
          </cell>
          <cell r="L55">
            <v>2.72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</row>
        <row r="56">
          <cell r="G56">
            <v>0.33</v>
          </cell>
          <cell r="H56">
            <v>0.34</v>
          </cell>
          <cell r="I56">
            <v>0.35</v>
          </cell>
          <cell r="J56">
            <v>0.36</v>
          </cell>
          <cell r="K56">
            <v>0.34</v>
          </cell>
          <cell r="L56">
            <v>0.34</v>
          </cell>
          <cell r="M56">
            <v>0.35</v>
          </cell>
          <cell r="N56">
            <v>0.32</v>
          </cell>
          <cell r="O56">
            <v>0.36</v>
          </cell>
          <cell r="P56">
            <v>0.33</v>
          </cell>
          <cell r="Q56">
            <v>0.34</v>
          </cell>
          <cell r="R56">
            <v>0.37</v>
          </cell>
        </row>
        <row r="57"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</row>
        <row r="58">
          <cell r="G58">
            <v>2.3199999999999998</v>
          </cell>
          <cell r="H58">
            <v>1.36</v>
          </cell>
          <cell r="I58">
            <v>1.35</v>
          </cell>
          <cell r="J58">
            <v>1.74</v>
          </cell>
          <cell r="K58">
            <v>1.35</v>
          </cell>
          <cell r="L58">
            <v>1.35</v>
          </cell>
          <cell r="M58">
            <v>1.72</v>
          </cell>
          <cell r="N58">
            <v>2.0699999999999998</v>
          </cell>
          <cell r="O58">
            <v>1.32</v>
          </cell>
          <cell r="P58">
            <v>1.34</v>
          </cell>
          <cell r="Q58">
            <v>2.4</v>
          </cell>
          <cell r="R58">
            <v>1.37</v>
          </cell>
        </row>
        <row r="59"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</row>
        <row r="60">
          <cell r="G60">
            <v>2.3199999999999998</v>
          </cell>
          <cell r="H60">
            <v>1.36</v>
          </cell>
          <cell r="I60">
            <v>1.35</v>
          </cell>
          <cell r="J60">
            <v>1.74</v>
          </cell>
          <cell r="K60">
            <v>1.35</v>
          </cell>
          <cell r="L60">
            <v>1.35</v>
          </cell>
          <cell r="M60">
            <v>1.72</v>
          </cell>
          <cell r="N60">
            <v>2.0699999999999998</v>
          </cell>
          <cell r="O60">
            <v>1.32</v>
          </cell>
          <cell r="P60">
            <v>1.34</v>
          </cell>
          <cell r="Q60">
            <v>2.4</v>
          </cell>
          <cell r="R60">
            <v>1.37</v>
          </cell>
        </row>
        <row r="61"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</row>
        <row r="62">
          <cell r="G62">
            <v>112.58</v>
          </cell>
          <cell r="H62">
            <v>109.72</v>
          </cell>
          <cell r="I62">
            <v>109.72</v>
          </cell>
          <cell r="J62">
            <v>110.95</v>
          </cell>
          <cell r="K62">
            <v>108.10250000000001</v>
          </cell>
          <cell r="L62">
            <v>110.65</v>
          </cell>
          <cell r="M62">
            <v>108.22999999999999</v>
          </cell>
          <cell r="N62">
            <v>127.31</v>
          </cell>
          <cell r="O62">
            <v>112.34</v>
          </cell>
          <cell r="P62">
            <v>116.14</v>
          </cell>
          <cell r="Q62">
            <v>117.43</v>
          </cell>
          <cell r="R62">
            <v>111.28</v>
          </cell>
        </row>
        <row r="63">
          <cell r="G63"/>
          <cell r="H63"/>
          <cell r="I63"/>
          <cell r="J63"/>
          <cell r="K63"/>
          <cell r="L63"/>
          <cell r="M63"/>
          <cell r="N63"/>
          <cell r="O63"/>
          <cell r="P63"/>
          <cell r="Q63"/>
          <cell r="R63"/>
        </row>
        <row r="64">
          <cell r="G64">
            <v>105.24</v>
          </cell>
          <cell r="H64">
            <v>102.5</v>
          </cell>
          <cell r="I64">
            <v>102.27</v>
          </cell>
          <cell r="J64">
            <v>104.48</v>
          </cell>
          <cell r="K64">
            <v>103.6225</v>
          </cell>
          <cell r="L64">
            <v>103.58</v>
          </cell>
          <cell r="M64">
            <v>101.58</v>
          </cell>
          <cell r="N64">
            <v>122.29</v>
          </cell>
          <cell r="O64">
            <v>104.98</v>
          </cell>
          <cell r="P64">
            <v>108.85</v>
          </cell>
          <cell r="Q64">
            <v>110.17</v>
          </cell>
          <cell r="R64">
            <v>103.91</v>
          </cell>
        </row>
        <row r="65">
          <cell r="G65"/>
          <cell r="H65"/>
          <cell r="I65"/>
          <cell r="J65"/>
          <cell r="K65"/>
          <cell r="L65"/>
          <cell r="M65"/>
          <cell r="N65"/>
          <cell r="O65"/>
          <cell r="P65"/>
          <cell r="Q65"/>
          <cell r="R65"/>
        </row>
        <row r="66">
          <cell r="G66">
            <v>7.07</v>
          </cell>
          <cell r="H66">
            <v>6.94</v>
          </cell>
          <cell r="I66">
            <v>7.17</v>
          </cell>
          <cell r="J66">
            <v>6.18</v>
          </cell>
          <cell r="K66">
            <v>4.1900000000000004</v>
          </cell>
          <cell r="L66">
            <v>6.78</v>
          </cell>
          <cell r="M66">
            <v>6.38</v>
          </cell>
          <cell r="N66">
            <v>4.74</v>
          </cell>
          <cell r="O66">
            <v>7.08</v>
          </cell>
          <cell r="P66">
            <v>7.01</v>
          </cell>
          <cell r="Q66">
            <v>6.97</v>
          </cell>
          <cell r="R66">
            <v>7.08</v>
          </cell>
        </row>
        <row r="67">
          <cell r="G67">
            <v>0.27</v>
          </cell>
          <cell r="H67">
            <v>0.28000000000000003</v>
          </cell>
          <cell r="I67">
            <v>0.28000000000000003</v>
          </cell>
          <cell r="J67">
            <v>0.28999999999999998</v>
          </cell>
          <cell r="K67">
            <v>0.28999999999999998</v>
          </cell>
          <cell r="L67">
            <v>0.28999999999999998</v>
          </cell>
          <cell r="M67">
            <v>0.27</v>
          </cell>
          <cell r="N67">
            <v>0.28000000000000003</v>
          </cell>
          <cell r="O67">
            <v>0.28000000000000003</v>
          </cell>
          <cell r="P67">
            <v>0.28000000000000003</v>
          </cell>
          <cell r="Q67">
            <v>0.28999999999999998</v>
          </cell>
          <cell r="R67">
            <v>0.28999999999999998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</row>
        <row r="69">
          <cell r="G69"/>
          <cell r="H69"/>
          <cell r="I69"/>
          <cell r="J69"/>
          <cell r="K69"/>
          <cell r="L69"/>
          <cell r="M69"/>
          <cell r="N69"/>
          <cell r="O69"/>
          <cell r="P69"/>
          <cell r="Q69"/>
          <cell r="R69"/>
        </row>
        <row r="70">
          <cell r="G70">
            <v>43.45</v>
          </cell>
          <cell r="H70">
            <v>43.75</v>
          </cell>
          <cell r="I70">
            <v>44.66</v>
          </cell>
          <cell r="J70">
            <v>44.59</v>
          </cell>
          <cell r="K70">
            <v>42.88</v>
          </cell>
          <cell r="L70">
            <v>43.31</v>
          </cell>
          <cell r="M70">
            <v>41.980000000000004</v>
          </cell>
          <cell r="N70">
            <v>42.87</v>
          </cell>
          <cell r="O70">
            <v>43.980000000000004</v>
          </cell>
          <cell r="P70">
            <v>44.32</v>
          </cell>
          <cell r="Q70">
            <v>44.58</v>
          </cell>
          <cell r="R70">
            <v>44.31</v>
          </cell>
        </row>
        <row r="71"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</row>
        <row r="72">
          <cell r="G72">
            <v>26.55</v>
          </cell>
          <cell r="H72">
            <v>26.42</v>
          </cell>
          <cell r="I72">
            <v>26.42</v>
          </cell>
          <cell r="J72">
            <v>26.61</v>
          </cell>
          <cell r="K72">
            <v>26.44</v>
          </cell>
          <cell r="L72">
            <v>26.8</v>
          </cell>
          <cell r="M72">
            <v>26.48</v>
          </cell>
          <cell r="N72">
            <v>26.56</v>
          </cell>
          <cell r="O72">
            <v>26.56</v>
          </cell>
          <cell r="P72">
            <v>26.35</v>
          </cell>
          <cell r="Q72">
            <v>26.4</v>
          </cell>
          <cell r="R72">
            <v>26.43</v>
          </cell>
        </row>
        <row r="73">
          <cell r="G73">
            <v>16.899999999999999</v>
          </cell>
          <cell r="H73">
            <v>17.329999999999998</v>
          </cell>
          <cell r="I73">
            <v>18.239999999999998</v>
          </cell>
          <cell r="J73">
            <v>17.98</v>
          </cell>
          <cell r="K73">
            <v>16.440000000000001</v>
          </cell>
          <cell r="L73">
            <v>16.510000000000002</v>
          </cell>
          <cell r="M73">
            <v>15.5</v>
          </cell>
          <cell r="N73">
            <v>16.309999999999999</v>
          </cell>
          <cell r="O73">
            <v>17.420000000000002</v>
          </cell>
          <cell r="P73">
            <v>17.97</v>
          </cell>
          <cell r="Q73">
            <v>18.18</v>
          </cell>
          <cell r="R73">
            <v>17.88</v>
          </cell>
        </row>
      </sheetData>
      <sheetData sheetId="1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"/>
      <sheetName val="ACTIVOS"/>
      <sheetName val="Plan exp"/>
      <sheetName val="Evo"/>
      <sheetName val="Bienes 2012"/>
      <sheetName val="Tasa depreciacion"/>
      <sheetName val="VNR Lineas"/>
      <sheetName val="VNR Sub Conex"/>
      <sheetName val="VNR Sub SPT"/>
      <sheetName val="VNR 2012"/>
      <sheetName val="CND"/>
      <sheetName val="CND SOLICITADO"/>
      <sheetName val="CND AJUSTADO"/>
      <sheetName val="CND AJUSTADO -RES"/>
      <sheetName val="HID"/>
      <sheetName val="HID2"/>
    </sheetNames>
    <sheetDataSet>
      <sheetData sheetId="0"/>
      <sheetData sheetId="1">
        <row r="31">
          <cell r="C31">
            <v>328214.90700403386</v>
          </cell>
          <cell r="D31">
            <v>329873.85527403385</v>
          </cell>
          <cell r="E31">
            <v>375008.30859411194</v>
          </cell>
          <cell r="F31">
            <v>443693.93626798945</v>
          </cell>
          <cell r="G31">
            <v>485043.08808429469</v>
          </cell>
          <cell r="H31">
            <v>616178.9186820162</v>
          </cell>
        </row>
        <row r="32">
          <cell r="C32">
            <v>199740.3098379263</v>
          </cell>
          <cell r="D32">
            <v>191281.4124455378</v>
          </cell>
          <cell r="E32">
            <v>226248.25165512742</v>
          </cell>
          <cell r="F32">
            <v>283412.23161891417</v>
          </cell>
          <cell r="G32">
            <v>311179.16689491225</v>
          </cell>
          <cell r="H32">
            <v>427492.30639783741</v>
          </cell>
        </row>
        <row r="33">
          <cell r="D33">
            <v>-10117.845662388465</v>
          </cell>
          <cell r="E33">
            <v>-10167.614110488465</v>
          </cell>
          <cell r="F33">
            <v>-11521.647710090807</v>
          </cell>
          <cell r="G33">
            <v>-13582.216540307134</v>
          </cell>
          <cell r="H33">
            <v>-14822.69109479629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285457.82998149999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285457.82998149999</v>
          </cell>
        </row>
        <row r="60">
          <cell r="H60">
            <v>0</v>
          </cell>
        </row>
        <row r="88">
          <cell r="D88">
            <v>-1133.7359452590517</v>
          </cell>
          <cell r="E88">
            <v>-1200.3310039590517</v>
          </cell>
          <cell r="F88">
            <v>-1295.3459452590516</v>
          </cell>
          <cell r="G88">
            <v>-1677.8759452590516</v>
          </cell>
          <cell r="H88">
            <v>-1710.9059452590518</v>
          </cell>
        </row>
        <row r="114">
          <cell r="C114">
            <v>21486.153981225449</v>
          </cell>
          <cell r="D114">
            <v>21486.153981225449</v>
          </cell>
          <cell r="E114">
            <v>21486.153981225449</v>
          </cell>
          <cell r="F114">
            <v>37734.153981225449</v>
          </cell>
          <cell r="G114">
            <v>37734.153981225449</v>
          </cell>
          <cell r="H114">
            <v>37734.153981225449</v>
          </cell>
        </row>
        <row r="115">
          <cell r="C115">
            <v>8607.5463466670826</v>
          </cell>
          <cell r="D115">
            <v>7843.4760976887846</v>
          </cell>
          <cell r="E115">
            <v>7079.4058487104867</v>
          </cell>
          <cell r="F115">
            <v>22563.335599732189</v>
          </cell>
          <cell r="G115">
            <v>21311.82535075389</v>
          </cell>
          <cell r="H115">
            <v>20060.315101775595</v>
          </cell>
        </row>
        <row r="116">
          <cell r="D116">
            <v>-764.07024897829797</v>
          </cell>
          <cell r="E116">
            <v>-764.07024897829797</v>
          </cell>
          <cell r="F116">
            <v>-764.07024897829797</v>
          </cell>
          <cell r="G116">
            <v>-1251.510248978298</v>
          </cell>
          <cell r="H116">
            <v>-1251.510248978298</v>
          </cell>
        </row>
        <row r="143">
          <cell r="C143">
            <v>2000.9</v>
          </cell>
          <cell r="D143">
            <v>2000.9</v>
          </cell>
          <cell r="E143">
            <v>2000.9</v>
          </cell>
          <cell r="F143">
            <v>2000.9</v>
          </cell>
          <cell r="G143">
            <v>0</v>
          </cell>
          <cell r="H143">
            <v>0</v>
          </cell>
        </row>
        <row r="144">
          <cell r="C144">
            <v>269.1894999999995</v>
          </cell>
          <cell r="D144">
            <v>199.15799999999945</v>
          </cell>
          <cell r="E144">
            <v>129.1264999999994</v>
          </cell>
          <cell r="F144">
            <v>59.094999999999345</v>
          </cell>
          <cell r="G144">
            <v>0</v>
          </cell>
          <cell r="H144">
            <v>0</v>
          </cell>
        </row>
        <row r="145">
          <cell r="D145">
            <v>-70.031500000000008</v>
          </cell>
          <cell r="E145">
            <v>-70.031500000000008</v>
          </cell>
          <cell r="F145">
            <v>-70.031500000000008</v>
          </cell>
          <cell r="G145">
            <v>-59</v>
          </cell>
          <cell r="H145">
            <v>0</v>
          </cell>
        </row>
        <row r="160">
          <cell r="D160">
            <v>552.98275666666655</v>
          </cell>
          <cell r="E160">
            <v>3708.333333333333</v>
          </cell>
          <cell r="F160">
            <v>14627.666002949512</v>
          </cell>
          <cell r="G160">
            <v>52.364652898412075</v>
          </cell>
          <cell r="H160">
            <v>47677.735883143461</v>
          </cell>
        </row>
        <row r="161"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142728.91499075</v>
          </cell>
        </row>
        <row r="162">
          <cell r="D162">
            <v>0</v>
          </cell>
          <cell r="E162">
            <v>0</v>
          </cell>
          <cell r="F162">
            <v>2598.9999999999995</v>
          </cell>
          <cell r="G162">
            <v>0</v>
          </cell>
          <cell r="H162">
            <v>0</v>
          </cell>
        </row>
        <row r="165">
          <cell r="D165">
            <v>1014.4604091666668</v>
          </cell>
          <cell r="E165">
            <v>13022.718169173173</v>
          </cell>
          <cell r="F165">
            <v>29436.330429536429</v>
          </cell>
          <cell r="G165">
            <v>17387.492574819265</v>
          </cell>
          <cell r="H165">
            <v>63438.998632194074</v>
          </cell>
        </row>
        <row r="166"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142728.91499075</v>
          </cell>
        </row>
        <row r="167">
          <cell r="D167">
            <v>0</v>
          </cell>
          <cell r="E167">
            <v>0</v>
          </cell>
          <cell r="F167">
            <v>5300.25</v>
          </cell>
          <cell r="G167">
            <v>0</v>
          </cell>
          <cell r="H167">
            <v>0</v>
          </cell>
        </row>
        <row r="172">
          <cell r="G172">
            <v>575451.02642300935</v>
          </cell>
        </row>
        <row r="173">
          <cell r="G173">
            <v>97394.37630473396</v>
          </cell>
        </row>
        <row r="174">
          <cell r="G174">
            <v>672845.40272774326</v>
          </cell>
        </row>
        <row r="214">
          <cell r="C214">
            <v>36777.496935299991</v>
          </cell>
          <cell r="D214">
            <v>38997.332225299993</v>
          </cell>
          <cell r="E214">
            <v>42164.496935299991</v>
          </cell>
          <cell r="F214">
            <v>54915.496935299991</v>
          </cell>
          <cell r="G214">
            <v>56016.496935299991</v>
          </cell>
          <cell r="H214">
            <v>60059.496935299991</v>
          </cell>
        </row>
        <row r="215">
          <cell r="C215">
            <v>8409.7691952999921</v>
          </cell>
          <cell r="D215">
            <v>9495.8685400409413</v>
          </cell>
          <cell r="E215">
            <v>11462.702246081888</v>
          </cell>
          <cell r="F215">
            <v>22918.356300822834</v>
          </cell>
          <cell r="G215">
            <v>22341.480355563781</v>
          </cell>
          <cell r="H215">
            <v>24673.574410304729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B9">
            <v>2202.5441297199995</v>
          </cell>
          <cell r="C9">
            <v>2620.1873784320696</v>
          </cell>
          <cell r="D9">
            <v>3675.7503826279299</v>
          </cell>
          <cell r="E9">
            <v>3502.4341513399995</v>
          </cell>
          <cell r="F9">
            <v>3541.1801621499999</v>
          </cell>
          <cell r="G9">
            <v>3276.7801621499998</v>
          </cell>
          <cell r="H9">
            <v>3096.8921729599997</v>
          </cell>
          <cell r="I9">
            <v>3862.4921729599996</v>
          </cell>
          <cell r="J9">
            <v>3206.7041837699994</v>
          </cell>
          <cell r="K9">
            <v>3057.6041837699995</v>
          </cell>
        </row>
      </sheetData>
      <sheetData sheetId="11"/>
      <sheetData sheetId="12"/>
      <sheetData sheetId="13"/>
      <sheetData sheetId="14">
        <row r="8">
          <cell r="B8">
            <v>1606411.32</v>
          </cell>
          <cell r="C8">
            <v>1524430.06</v>
          </cell>
          <cell r="D8">
            <v>1636292.4519999998</v>
          </cell>
          <cell r="E8">
            <v>1671892.4519999998</v>
          </cell>
          <cell r="F8">
            <v>4560369.8103999998</v>
          </cell>
          <cell r="G8">
            <v>2015329.8103999998</v>
          </cell>
          <cell r="H8">
            <v>2353347.1688000001</v>
          </cell>
          <cell r="I8">
            <v>2051147.1687999999</v>
          </cell>
          <cell r="J8">
            <v>2668320.7535999995</v>
          </cell>
          <cell r="K8">
            <v>2075620.7535999997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-2012 Contraloría Historico"/>
      <sheetName val="2001-2012 Contraloría Var Hist "/>
      <sheetName val="Variacion PIB por Act 2001-09"/>
      <sheetName val="2001-12Contraloría Estruc. Hist"/>
      <sheetName val="Evalua Estimado 2006"/>
      <sheetName val="Variacion PIB- Esc. Exp. Canal"/>
      <sheetName val="PIB 2011 Estimado "/>
      <sheetName val="IMAE 2005 - 13"/>
      <sheetName val="Pronosticos Publicados 2013 "/>
      <sheetName val="Pronosticos Publicados 2014-17 "/>
      <sheetName val="PIB Mundial vs Panama  2001-13"/>
      <sheetName val="PIB 2013, tres metodologías (M)"/>
      <sheetName val="Var.  Estructural 2012  Mod"/>
      <sheetName val="TC Estimadas a 2013 "/>
      <sheetName val="PIB 2012 Historico Estimado "/>
      <sheetName val="PIB Estructural II TRIM 2005-12"/>
      <sheetName val="VALIDAR PIB Estruc II Trim 2011"/>
      <sheetName val="AjustPonderadoXActiv.2012 "/>
      <sheetName val="PIB Estructural II TRIM 2005-13"/>
      <sheetName val="VALIDAR PIBEstruc IITrim E 2012"/>
      <sheetName val="Estimado de Impuestos Netos"/>
      <sheetName val="PIB Estruc. Est. II Trim 2012 V"/>
      <sheetName val="PIB Estruc. Est. II Trim 201"/>
      <sheetName val="PIB Estruc. Est. II Trim 2012"/>
      <sheetName val="PIB Pre Est Estruc II Trim 2013"/>
      <sheetName val="PIBMOD; 2014 Tres Metodologias "/>
      <sheetName val="PIBOPT; 2014 Tres Metodologias "/>
      <sheetName val="PIBPES; 2014 Tres Metodologias"/>
      <sheetName val="PIB Estructural 2013-14 Est. 2T"/>
      <sheetName val="PIB Estruc. III TRIM 2005 -13"/>
      <sheetName val="PIB Estructural III Trim2011"/>
      <sheetName val="PIB Estructural III Trim2011Mod"/>
      <sheetName val="PIB Estructural E III Trim2013"/>
      <sheetName val="PIBMOD; 2014 Tres Metodolog III"/>
      <sheetName val="PIBOPT; 2014 Tres Metodolog III"/>
      <sheetName val="PIBPES; 2014 Tres Metodolog III"/>
      <sheetName val="PIB Estructural 2013-14 Est 3T"/>
      <sheetName val="PIB Estructural 2012 Est. 3T"/>
      <sheetName val="Analisis IMAE 2008"/>
      <sheetName val="Analisis IMAE 2008 Anexo"/>
      <sheetName val="PIB Estructural III Trim 2008 "/>
      <sheetName val="Tasas PIB INTRACORP"/>
      <sheetName val="Empalme de Bases 96-82 (2)"/>
      <sheetName val="Tasas PIB INTRACORP2005-21"/>
      <sheetName val="Tasas PIB INTRACORP2005-24"/>
      <sheetName val="Comp.Tasas PIB INTRACORP- Real "/>
      <sheetName val="Gráfico TASAS 2009-2024"/>
      <sheetName val="Premisas Escenarios"/>
      <sheetName val="Estimacion PIB 2012-2026"/>
      <sheetName val="Pronosticos 2012-2026 "/>
      <sheetName val="Estimacion PIB 2013-2027"/>
      <sheetName val="Estimacion PIB 2T 2014-2028"/>
      <sheetName val="Estimacion PIB 3T 2014-2028"/>
      <sheetName val="Pronosticos 2014-28"/>
      <sheetName val="Pronosticos 2011-25 mOD +,-5%"/>
      <sheetName val="Estimacion PIB 2010-2024 (2)"/>
      <sheetName val="Pronosticos 2010-24 % (2)"/>
      <sheetName val="Estimacion PIB 2010-2024 (3)"/>
      <sheetName val="Empalme de Bases PIB96-82 13-27"/>
      <sheetName val="Empalme de Bases 96-82"/>
      <sheetName val="Empalme de Bases 96-82 3T"/>
      <sheetName val="Comp. Hist. Manuf. 1982=1"/>
      <sheetName val="Pronosticos 2010-24 % (3)"/>
      <sheetName val="Tasas PIB INTRACORP (3)"/>
      <sheetName val="Empalme de Bases 96-82 11-26"/>
      <sheetName val="Mat.  Cons.  2002-2006"/>
      <sheetName val="Produccion fisica Man 2002-06"/>
      <sheetName val="Carac.Consumo ELec. Sector Ind."/>
      <sheetName val="industria-Algunos indicadores"/>
      <sheetName val="Impacto Sector Sec al PIB "/>
      <sheetName val="PIB MANUFACTURA 1986-2010"/>
      <sheetName val="Est. PIB MANUFACTURA ACP1996Mod"/>
      <sheetName val="Est. PIB MANUFACTURA ACP19963T"/>
      <sheetName val="Impacto Man al PIB 2013-27"/>
      <sheetName val="Est. PIB MANUF. EMPALM2014-28 2"/>
      <sheetName val="Est. PIBMANUF.EMPALM2014- 28 3T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1-2012 Contraloría Historico"/>
      <sheetName val="2001-2012 Contraloría Var Hist "/>
      <sheetName val="Variacion PIB por Act 2001-09"/>
      <sheetName val="2001-12Contraloría Estruc. Hist"/>
      <sheetName val="Evalua Estimado 2006"/>
      <sheetName val="Variacion PIB- Esc. Exp. Canal"/>
      <sheetName val="PIB 2011 Estimado "/>
      <sheetName val="IMAE 2005 - 13"/>
      <sheetName val="Pronosticos Publicados 2013 "/>
      <sheetName val="Pronosticos Publicados 2014-17 "/>
      <sheetName val="PIB Mundial vs Panama  2001-13"/>
      <sheetName val="PIB 2013, tres metodologías (M)"/>
      <sheetName val="Var.  Estructural 2012  Mod"/>
      <sheetName val="TC Estimadas a 2013 "/>
      <sheetName val="PIB 2012 Historico Estimado "/>
      <sheetName val="PIB Estructural II TRIM 2005-12"/>
      <sheetName val="VALIDAR PIB Estruc II Trim 2011"/>
      <sheetName val="AjustPonderadoXActiv.2012 "/>
      <sheetName val="PIB Estructural II TRIM 2005-13"/>
      <sheetName val="VALIDAR PIBEstruc IITrim E 2012"/>
      <sheetName val="Estimado de Impuestos Netos"/>
      <sheetName val="PIB Estruc. Est. II Trim 2012 V"/>
      <sheetName val="PIB Estruc. Est. II Trim 201"/>
      <sheetName val="PIB Estruc. Est. II Trim 2012"/>
      <sheetName val="PIB Pre Est Estruc II Trim 2013"/>
      <sheetName val="PIBMOD; 2014 Tres Metodologias "/>
      <sheetName val="PIBOPT; 2014 Tres Metodologias "/>
      <sheetName val="PIBPES; 2014 Tres Metodologias"/>
      <sheetName val="PIB Estructural 2013-14 Est. 2T"/>
      <sheetName val="PIB Estruc. III TRIM 2005 -13"/>
      <sheetName val="PIB Estructural III Trim2011"/>
      <sheetName val="PIB Estructural III Trim2011Mod"/>
      <sheetName val="PIB Estructural E III Trim2013"/>
      <sheetName val="PIBMOD; 2014 Tres Metodolog III"/>
      <sheetName val="PIBOPT; 2014 Tres Metodolog III"/>
      <sheetName val="PIBPES; 2014 Tres Metodolog III"/>
      <sheetName val="PIB Estructural 2013-14 Est 3T"/>
      <sheetName val="PIB Estructural 2012 Est. 3T"/>
      <sheetName val="Analisis IMAE 2008"/>
      <sheetName val="Analisis IMAE 2008 Anexo"/>
      <sheetName val="PIB Estructural III Trim 2008 "/>
      <sheetName val="Tasas PIB INTRACORP"/>
      <sheetName val="Empalme de Bases 96-82 (2)"/>
      <sheetName val="Tasas PIB INTRACORP2005-21"/>
      <sheetName val="Tasas PIB INTRACORP2005-24"/>
      <sheetName val="Comp.Tasas PIB INTRACORP- Real "/>
      <sheetName val="Gráfico TASAS 2009-2024"/>
      <sheetName val="Premisas Escenarios"/>
      <sheetName val="Estimacion PIB 2012-2026"/>
      <sheetName val="Pronosticos 2012-2026 "/>
      <sheetName val="Estimacion PIB 2013-2027"/>
      <sheetName val="Estimacion PIB 2T 2014-2028"/>
      <sheetName val="Estimacion PIB 3T 2014-2028"/>
      <sheetName val="Pronosticos 2014-28"/>
      <sheetName val="Pronosticos 2011-25 mOD +,-5%"/>
      <sheetName val="Estimacion PIB 2010-2024 (2)"/>
      <sheetName val="Pronosticos 2010-24 % (2)"/>
      <sheetName val="Estimacion PIB 2010-2024 (3)"/>
      <sheetName val="Empalme de Bases PIB96-82 13-27"/>
      <sheetName val="Empalme de Bases 96-82"/>
      <sheetName val="Empalme de Bases 96-82 3T"/>
      <sheetName val="Comp. Hist. Manuf. 1982=1"/>
      <sheetName val="Pronosticos 2010-24 % (3)"/>
      <sheetName val="Tasas PIB INTRACORP (3)"/>
      <sheetName val="Empalme de Bases 96-82 11-26"/>
      <sheetName val="Mat.  Cons.  2002-2006"/>
      <sheetName val="Produccion fisica Man 2002-06"/>
      <sheetName val="Carac.Consumo ELec. Sector Ind."/>
      <sheetName val="industria-Algunos indicadores"/>
      <sheetName val="Impacto Sector Sec al PIB "/>
      <sheetName val="PIB MANUFACTURA 1986-2010"/>
      <sheetName val="Est. PIB MANUFACTURA ACP1996Mod"/>
      <sheetName val="Est. PIB MANUFACTURA ACP19963T"/>
      <sheetName val="Impacto Man al PIB 2013-27"/>
      <sheetName val="Est. PIB MANUF. EMPALM2014-28 2"/>
      <sheetName val="Est. PIBMANUF.EMPALM2014- 28 3T"/>
      <sheetName val="Hoja3"/>
      <sheetName val="Hoja1"/>
    </sheetNames>
    <sheetDataSet>
      <sheetData sheetId="0">
        <row r="43">
          <cell r="H43">
            <v>14041.199999999999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9">
          <cell r="AB69">
            <v>6.25</v>
          </cell>
        </row>
      </sheetData>
      <sheetData sheetId="10"/>
      <sheetData sheetId="11">
        <row r="8">
          <cell r="G8">
            <v>2004</v>
          </cell>
        </row>
      </sheetData>
      <sheetData sheetId="12"/>
      <sheetData sheetId="13"/>
      <sheetData sheetId="14"/>
      <sheetData sheetId="15">
        <row r="45">
          <cell r="M45">
            <v>8.5277611600148129E-2</v>
          </cell>
        </row>
      </sheetData>
      <sheetData sheetId="16">
        <row r="14">
          <cell r="K14">
            <v>2.9381495383871546E-2</v>
          </cell>
        </row>
      </sheetData>
      <sheetData sheetId="17"/>
      <sheetData sheetId="18">
        <row r="13">
          <cell r="AK13">
            <v>730.29380429282003</v>
          </cell>
        </row>
      </sheetData>
      <sheetData sheetId="19"/>
      <sheetData sheetId="20">
        <row r="27">
          <cell r="N27">
            <v>0.30833039181080124</v>
          </cell>
        </row>
      </sheetData>
      <sheetData sheetId="21"/>
      <sheetData sheetId="22"/>
      <sheetData sheetId="23"/>
      <sheetData sheetId="24"/>
      <sheetData sheetId="25">
        <row r="15">
          <cell r="R15">
            <v>2.6338961472462064E-2</v>
          </cell>
        </row>
      </sheetData>
      <sheetData sheetId="26"/>
      <sheetData sheetId="27"/>
      <sheetData sheetId="28">
        <row r="42">
          <cell r="G42">
            <v>27697.120686863906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9">
          <cell r="F19">
            <v>2.3443464982300322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Existente"/>
      <sheetName val="IMPA Indicativo"/>
      <sheetName val="Sensibilidad"/>
      <sheetName val="Activos Reconocidos"/>
      <sheetName val="Tasa de Depreciación"/>
      <sheetName val="Base de Capital"/>
      <sheetName val="OMT%_ADMT%"/>
      <sheetName val="VNR Lin "/>
      <sheetName val=" VNR Sub"/>
      <sheetName val="Plan de Expansión"/>
      <sheetName val="Adiciones"/>
      <sheetName val="CND"/>
      <sheetName val="GEN_OBL"/>
      <sheetName val="Tercera Línea"/>
      <sheetName val="Bienes e Instalaciones 31_12_20"/>
      <sheetName val="tablas aux"/>
      <sheetName val="Base ETESA"/>
      <sheetName val="Cuadro Informe"/>
    </sheetNames>
    <sheetDataSet>
      <sheetData sheetId="0"/>
      <sheetData sheetId="1"/>
      <sheetData sheetId="2">
        <row r="6">
          <cell r="B6">
            <v>6.83E-2</v>
          </cell>
        </row>
      </sheetData>
      <sheetData sheetId="3">
        <row r="58">
          <cell r="C58">
            <v>218884889.84630552</v>
          </cell>
        </row>
      </sheetData>
      <sheetData sheetId="4"/>
      <sheetData sheetId="5"/>
      <sheetData sheetId="6">
        <row r="13">
          <cell r="E13">
            <v>1.32E-2</v>
          </cell>
        </row>
      </sheetData>
      <sheetData sheetId="7">
        <row r="64">
          <cell r="I64">
            <v>535282199.57275289</v>
          </cell>
        </row>
        <row r="74">
          <cell r="I74">
            <v>6552391.9799189642</v>
          </cell>
        </row>
      </sheetData>
      <sheetData sheetId="8">
        <row r="24">
          <cell r="G24">
            <v>393243678.45037353</v>
          </cell>
        </row>
        <row r="33">
          <cell r="G33">
            <v>42460461.096931174</v>
          </cell>
        </row>
        <row r="45">
          <cell r="H45">
            <v>101412915.54112218</v>
          </cell>
        </row>
      </sheetData>
      <sheetData sheetId="9"/>
      <sheetData sheetId="10"/>
      <sheetData sheetId="11">
        <row r="26">
          <cell r="D26">
            <v>2719496.0937689999</v>
          </cell>
        </row>
      </sheetData>
      <sheetData sheetId="12">
        <row r="9">
          <cell r="I9">
            <v>-6188.872545107246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  <sheetName val="Resumen Anual"/>
      <sheetName val="Resumen Anual (original)"/>
      <sheetName val="Justificacion"/>
      <sheetName val="Cuadro Resumen feb"/>
      <sheetName val="Liq Estamp.-Febrero2014"/>
      <sheetName val="Feb Estampilla Generación Final"/>
      <sheetName val="Estampilla Demanda Final"/>
      <sheetName val="AP Febrero Estampilla Postal"/>
      <sheetName val="ANALISIS 96 339"/>
      <sheetName val="Cap.Act. Año 1"/>
      <sheetName val="ESTAMP.-FEB 904"/>
      <sheetName val="Cargos Act. Año 1 (08)"/>
      <sheetName val="Cambio a SE"/>
      <sheetName val="Facturacion"/>
      <sheetName val="SEG ELEC GENERACION"/>
      <sheetName val="SEG ELECT DEMANDA"/>
      <sheetName val="LIQ SEG ELEC FEBRERO2014"/>
      <sheetName val=" LIQ DE ENERO 585"/>
      <sheetName val="SE Ajuste Parcial"/>
      <sheetName val="Balance Enero"/>
      <sheetName val="Balance Ajuste Parcial"/>
      <sheetName val="capacidades instaladas"/>
      <sheetName val="Ajuste Parcial Febrero"/>
      <sheetName val="Ajuste Parcial Enero"/>
      <sheetName val="M8"/>
      <sheetName val="Ajuste distibucion"/>
    </sheetNames>
    <sheetDataSet>
      <sheetData sheetId="0"/>
      <sheetData sheetId="1">
        <row r="14">
          <cell r="D14">
            <v>2000.9</v>
          </cell>
        </row>
      </sheetData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>
        <row r="14">
          <cell r="D14">
            <v>2000.9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>
        <row r="14">
          <cell r="D14">
            <v>63657.810000000005</v>
          </cell>
        </row>
      </sheetData>
      <sheetData sheetId="24">
        <row r="14">
          <cell r="D14">
            <v>2000.9</v>
          </cell>
        </row>
      </sheetData>
      <sheetData sheetId="25"/>
      <sheetData sheetId="26">
        <row r="14">
          <cell r="D14">
            <v>2000.9</v>
          </cell>
        </row>
      </sheetData>
      <sheetData sheetId="27"/>
      <sheetData sheetId="28"/>
      <sheetData sheetId="29">
        <row r="14">
          <cell r="D14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</sheetNames>
    <sheetDataSet>
      <sheetData sheetId="0"/>
      <sheetData sheetId="1">
        <row r="14">
          <cell r="D14">
            <v>2000.9</v>
          </cell>
        </row>
      </sheetData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>
        <row r="14">
          <cell r="D14">
            <v>2000.9</v>
          </cell>
        </row>
      </sheetData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 Base capital completa"/>
      <sheetName val="IMP O&amp;M promedio anterior"/>
      <sheetName val="IMP tasa 12.24%"/>
      <sheetName val="Graficas"/>
      <sheetName val="IMP"/>
      <sheetName val="Hidrometeorología"/>
      <sheetName val="Activos"/>
      <sheetName val="Hoja1"/>
      <sheetName val="Bienes 2004"/>
      <sheetName val="VNR"/>
      <sheetName val="VNR Líneas"/>
      <sheetName val="Compara Valor libros-vs-VNR"/>
      <sheetName val="VNR SE"/>
      <sheetName val="Inversión-Resumen"/>
      <sheetName val="Inversiones"/>
      <sheetName val="Retiros"/>
      <sheetName val="CND"/>
      <sheetName val="Informática"/>
      <sheetName val="Hoja2"/>
      <sheetName val="RRT"/>
      <sheetName val="#¡REF"/>
      <sheetName val="IMP-Ajuste-Fechas"/>
      <sheetName val="IMP-APROBADO"/>
      <sheetName val="Resumen Anual"/>
      <sheetName val="Resumen Anual (original)"/>
      <sheetName val="Justificacion"/>
      <sheetName val="Cuadro Resumen feb"/>
      <sheetName val="Liq Estamp.-Febrero2014"/>
      <sheetName val="Feb Estampilla Generación Final"/>
      <sheetName val="Estampilla Demanda Final"/>
      <sheetName val="AP Febrero Estampilla Postal"/>
      <sheetName val="ANALISIS 96 339"/>
      <sheetName val="Cap.Act. Año 1"/>
      <sheetName val="ESTAMP.-FEB 904"/>
      <sheetName val="Cargos Act. Año 1 (08)"/>
      <sheetName val="Cambio a SE"/>
      <sheetName val="Facturacion"/>
      <sheetName val="SEG ELEC GENERACION"/>
      <sheetName val="SEG ELECT DEMANDA"/>
      <sheetName val="LIQ SEG ELEC FEBRERO2014"/>
      <sheetName val=" LIQ DE ENERO 585"/>
      <sheetName val="SE Ajuste Parcial"/>
      <sheetName val="Balance Enero"/>
      <sheetName val="Balance Ajuste Parcial"/>
      <sheetName val="capacidades instaladas"/>
      <sheetName val="Ajuste Parcial Febrero"/>
      <sheetName val="Ajuste Parcial Enero"/>
      <sheetName val="M8"/>
      <sheetName val="Ajuste distibucion"/>
    </sheetNames>
    <sheetDataSet>
      <sheetData sheetId="0"/>
      <sheetData sheetId="1">
        <row r="14">
          <cell r="D14">
            <v>2000.9</v>
          </cell>
        </row>
      </sheetData>
      <sheetData sheetId="2"/>
      <sheetData sheetId="3"/>
      <sheetData sheetId="4">
        <row r="14">
          <cell r="D14">
            <v>2000.9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PT"/>
      <sheetName val="IPSPT"/>
      <sheetName val="IPCT"/>
      <sheetName val="ACTIVOS"/>
      <sheetName val="VNR"/>
      <sheetName val="ADMT%-OMT%"/>
      <sheetName val="RRT"/>
      <sheetName val="CND"/>
      <sheetName val="Hidromet.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14">
          <cell r="D14">
            <v>7.85E-2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3:N290"/>
  <sheetViews>
    <sheetView showGridLines="0" workbookViewId="0">
      <selection activeCell="A11" sqref="A11:N15"/>
    </sheetView>
  </sheetViews>
  <sheetFormatPr baseColWidth="10" defaultColWidth="8.7265625" defaultRowHeight="15" customHeight="1"/>
  <cols>
    <col min="1" max="1" width="8.7265625" style="372"/>
    <col min="2" max="2" width="13.7265625" style="372" customWidth="1"/>
    <col min="3" max="3" width="13.26953125" style="372" customWidth="1"/>
    <col min="4" max="4" width="9.1796875" style="372" bestFit="1" customWidth="1"/>
    <col min="5" max="5" width="9.54296875" style="372" bestFit="1" customWidth="1"/>
    <col min="6" max="6" width="9" style="372" customWidth="1"/>
    <col min="7" max="7" width="8.81640625" style="372" bestFit="1" customWidth="1"/>
    <col min="8" max="9" width="11.453125" style="372" customWidth="1"/>
    <col min="10" max="10" width="9.26953125" style="372" customWidth="1"/>
    <col min="11" max="12" width="8.81640625" style="372" bestFit="1" customWidth="1"/>
    <col min="13" max="13" width="9.453125" style="372" bestFit="1" customWidth="1"/>
    <col min="14" max="257" width="8.7265625" style="372"/>
    <col min="258" max="258" width="13.7265625" style="372" customWidth="1"/>
    <col min="259" max="259" width="13.26953125" style="372" customWidth="1"/>
    <col min="260" max="260" width="9.1796875" style="372" bestFit="1" customWidth="1"/>
    <col min="261" max="261" width="9.54296875" style="372" bestFit="1" customWidth="1"/>
    <col min="262" max="262" width="9" style="372" customWidth="1"/>
    <col min="263" max="263" width="8.81640625" style="372" bestFit="1" customWidth="1"/>
    <col min="264" max="265" width="11.453125" style="372" customWidth="1"/>
    <col min="266" max="266" width="9.26953125" style="372" customWidth="1"/>
    <col min="267" max="268" width="8.81640625" style="372" bestFit="1" customWidth="1"/>
    <col min="269" max="269" width="9.453125" style="372" bestFit="1" customWidth="1"/>
    <col min="270" max="513" width="8.7265625" style="372"/>
    <col min="514" max="514" width="13.7265625" style="372" customWidth="1"/>
    <col min="515" max="515" width="13.26953125" style="372" customWidth="1"/>
    <col min="516" max="516" width="9.1796875" style="372" bestFit="1" customWidth="1"/>
    <col min="517" max="517" width="9.54296875" style="372" bestFit="1" customWidth="1"/>
    <col min="518" max="518" width="9" style="372" customWidth="1"/>
    <col min="519" max="519" width="8.81640625" style="372" bestFit="1" customWidth="1"/>
    <col min="520" max="521" width="11.453125" style="372" customWidth="1"/>
    <col min="522" max="522" width="9.26953125" style="372" customWidth="1"/>
    <col min="523" max="524" width="8.81640625" style="372" bestFit="1" customWidth="1"/>
    <col min="525" max="525" width="9.453125" style="372" bestFit="1" customWidth="1"/>
    <col min="526" max="769" width="8.7265625" style="372"/>
    <col min="770" max="770" width="13.7265625" style="372" customWidth="1"/>
    <col min="771" max="771" width="13.26953125" style="372" customWidth="1"/>
    <col min="772" max="772" width="9.1796875" style="372" bestFit="1" customWidth="1"/>
    <col min="773" max="773" width="9.54296875" style="372" bestFit="1" customWidth="1"/>
    <col min="774" max="774" width="9" style="372" customWidth="1"/>
    <col min="775" max="775" width="8.81640625" style="372" bestFit="1" customWidth="1"/>
    <col min="776" max="777" width="11.453125" style="372" customWidth="1"/>
    <col min="778" max="778" width="9.26953125" style="372" customWidth="1"/>
    <col min="779" max="780" width="8.81640625" style="372" bestFit="1" customWidth="1"/>
    <col min="781" max="781" width="9.453125" style="372" bestFit="1" customWidth="1"/>
    <col min="782" max="1025" width="8.7265625" style="372"/>
    <col min="1026" max="1026" width="13.7265625" style="372" customWidth="1"/>
    <col min="1027" max="1027" width="13.26953125" style="372" customWidth="1"/>
    <col min="1028" max="1028" width="9.1796875" style="372" bestFit="1" customWidth="1"/>
    <col min="1029" max="1029" width="9.54296875" style="372" bestFit="1" customWidth="1"/>
    <col min="1030" max="1030" width="9" style="372" customWidth="1"/>
    <col min="1031" max="1031" width="8.81640625" style="372" bestFit="1" customWidth="1"/>
    <col min="1032" max="1033" width="11.453125" style="372" customWidth="1"/>
    <col min="1034" max="1034" width="9.26953125" style="372" customWidth="1"/>
    <col min="1035" max="1036" width="8.81640625" style="372" bestFit="1" customWidth="1"/>
    <col min="1037" max="1037" width="9.453125" style="372" bestFit="1" customWidth="1"/>
    <col min="1038" max="1281" width="8.7265625" style="372"/>
    <col min="1282" max="1282" width="13.7265625" style="372" customWidth="1"/>
    <col min="1283" max="1283" width="13.26953125" style="372" customWidth="1"/>
    <col min="1284" max="1284" width="9.1796875" style="372" bestFit="1" customWidth="1"/>
    <col min="1285" max="1285" width="9.54296875" style="372" bestFit="1" customWidth="1"/>
    <col min="1286" max="1286" width="9" style="372" customWidth="1"/>
    <col min="1287" max="1287" width="8.81640625" style="372" bestFit="1" customWidth="1"/>
    <col min="1288" max="1289" width="11.453125" style="372" customWidth="1"/>
    <col min="1290" max="1290" width="9.26953125" style="372" customWidth="1"/>
    <col min="1291" max="1292" width="8.81640625" style="372" bestFit="1" customWidth="1"/>
    <col min="1293" max="1293" width="9.453125" style="372" bestFit="1" customWidth="1"/>
    <col min="1294" max="1537" width="8.7265625" style="372"/>
    <col min="1538" max="1538" width="13.7265625" style="372" customWidth="1"/>
    <col min="1539" max="1539" width="13.26953125" style="372" customWidth="1"/>
    <col min="1540" max="1540" width="9.1796875" style="372" bestFit="1" customWidth="1"/>
    <col min="1541" max="1541" width="9.54296875" style="372" bestFit="1" customWidth="1"/>
    <col min="1542" max="1542" width="9" style="372" customWidth="1"/>
    <col min="1543" max="1543" width="8.81640625" style="372" bestFit="1" customWidth="1"/>
    <col min="1544" max="1545" width="11.453125" style="372" customWidth="1"/>
    <col min="1546" max="1546" width="9.26953125" style="372" customWidth="1"/>
    <col min="1547" max="1548" width="8.81640625" style="372" bestFit="1" customWidth="1"/>
    <col min="1549" max="1549" width="9.453125" style="372" bestFit="1" customWidth="1"/>
    <col min="1550" max="1793" width="8.7265625" style="372"/>
    <col min="1794" max="1794" width="13.7265625" style="372" customWidth="1"/>
    <col min="1795" max="1795" width="13.26953125" style="372" customWidth="1"/>
    <col min="1796" max="1796" width="9.1796875" style="372" bestFit="1" customWidth="1"/>
    <col min="1797" max="1797" width="9.54296875" style="372" bestFit="1" customWidth="1"/>
    <col min="1798" max="1798" width="9" style="372" customWidth="1"/>
    <col min="1799" max="1799" width="8.81640625" style="372" bestFit="1" customWidth="1"/>
    <col min="1800" max="1801" width="11.453125" style="372" customWidth="1"/>
    <col min="1802" max="1802" width="9.26953125" style="372" customWidth="1"/>
    <col min="1803" max="1804" width="8.81640625" style="372" bestFit="1" customWidth="1"/>
    <col min="1805" max="1805" width="9.453125" style="372" bestFit="1" customWidth="1"/>
    <col min="1806" max="2049" width="8.7265625" style="372"/>
    <col min="2050" max="2050" width="13.7265625" style="372" customWidth="1"/>
    <col min="2051" max="2051" width="13.26953125" style="372" customWidth="1"/>
    <col min="2052" max="2052" width="9.1796875" style="372" bestFit="1" customWidth="1"/>
    <col min="2053" max="2053" width="9.54296875" style="372" bestFit="1" customWidth="1"/>
    <col min="2054" max="2054" width="9" style="372" customWidth="1"/>
    <col min="2055" max="2055" width="8.81640625" style="372" bestFit="1" customWidth="1"/>
    <col min="2056" max="2057" width="11.453125" style="372" customWidth="1"/>
    <col min="2058" max="2058" width="9.26953125" style="372" customWidth="1"/>
    <col min="2059" max="2060" width="8.81640625" style="372" bestFit="1" customWidth="1"/>
    <col min="2061" max="2061" width="9.453125" style="372" bestFit="1" customWidth="1"/>
    <col min="2062" max="2305" width="8.7265625" style="372"/>
    <col min="2306" max="2306" width="13.7265625" style="372" customWidth="1"/>
    <col min="2307" max="2307" width="13.26953125" style="372" customWidth="1"/>
    <col min="2308" max="2308" width="9.1796875" style="372" bestFit="1" customWidth="1"/>
    <col min="2309" max="2309" width="9.54296875" style="372" bestFit="1" customWidth="1"/>
    <col min="2310" max="2310" width="9" style="372" customWidth="1"/>
    <col min="2311" max="2311" width="8.81640625" style="372" bestFit="1" customWidth="1"/>
    <col min="2312" max="2313" width="11.453125" style="372" customWidth="1"/>
    <col min="2314" max="2314" width="9.26953125" style="372" customWidth="1"/>
    <col min="2315" max="2316" width="8.81640625" style="372" bestFit="1" customWidth="1"/>
    <col min="2317" max="2317" width="9.453125" style="372" bestFit="1" customWidth="1"/>
    <col min="2318" max="2561" width="8.7265625" style="372"/>
    <col min="2562" max="2562" width="13.7265625" style="372" customWidth="1"/>
    <col min="2563" max="2563" width="13.26953125" style="372" customWidth="1"/>
    <col min="2564" max="2564" width="9.1796875" style="372" bestFit="1" customWidth="1"/>
    <col min="2565" max="2565" width="9.54296875" style="372" bestFit="1" customWidth="1"/>
    <col min="2566" max="2566" width="9" style="372" customWidth="1"/>
    <col min="2567" max="2567" width="8.81640625" style="372" bestFit="1" customWidth="1"/>
    <col min="2568" max="2569" width="11.453125" style="372" customWidth="1"/>
    <col min="2570" max="2570" width="9.26953125" style="372" customWidth="1"/>
    <col min="2571" max="2572" width="8.81640625" style="372" bestFit="1" customWidth="1"/>
    <col min="2573" max="2573" width="9.453125" style="372" bestFit="1" customWidth="1"/>
    <col min="2574" max="2817" width="8.7265625" style="372"/>
    <col min="2818" max="2818" width="13.7265625" style="372" customWidth="1"/>
    <col min="2819" max="2819" width="13.26953125" style="372" customWidth="1"/>
    <col min="2820" max="2820" width="9.1796875" style="372" bestFit="1" customWidth="1"/>
    <col min="2821" max="2821" width="9.54296875" style="372" bestFit="1" customWidth="1"/>
    <col min="2822" max="2822" width="9" style="372" customWidth="1"/>
    <col min="2823" max="2823" width="8.81640625" style="372" bestFit="1" customWidth="1"/>
    <col min="2824" max="2825" width="11.453125" style="372" customWidth="1"/>
    <col min="2826" max="2826" width="9.26953125" style="372" customWidth="1"/>
    <col min="2827" max="2828" width="8.81640625" style="372" bestFit="1" customWidth="1"/>
    <col min="2829" max="2829" width="9.453125" style="372" bestFit="1" customWidth="1"/>
    <col min="2830" max="3073" width="8.7265625" style="372"/>
    <col min="3074" max="3074" width="13.7265625" style="372" customWidth="1"/>
    <col min="3075" max="3075" width="13.26953125" style="372" customWidth="1"/>
    <col min="3076" max="3076" width="9.1796875" style="372" bestFit="1" customWidth="1"/>
    <col min="3077" max="3077" width="9.54296875" style="372" bestFit="1" customWidth="1"/>
    <col min="3078" max="3078" width="9" style="372" customWidth="1"/>
    <col min="3079" max="3079" width="8.81640625" style="372" bestFit="1" customWidth="1"/>
    <col min="3080" max="3081" width="11.453125" style="372" customWidth="1"/>
    <col min="3082" max="3082" width="9.26953125" style="372" customWidth="1"/>
    <col min="3083" max="3084" width="8.81640625" style="372" bestFit="1" customWidth="1"/>
    <col min="3085" max="3085" width="9.453125" style="372" bestFit="1" customWidth="1"/>
    <col min="3086" max="3329" width="8.7265625" style="372"/>
    <col min="3330" max="3330" width="13.7265625" style="372" customWidth="1"/>
    <col min="3331" max="3331" width="13.26953125" style="372" customWidth="1"/>
    <col min="3332" max="3332" width="9.1796875" style="372" bestFit="1" customWidth="1"/>
    <col min="3333" max="3333" width="9.54296875" style="372" bestFit="1" customWidth="1"/>
    <col min="3334" max="3334" width="9" style="372" customWidth="1"/>
    <col min="3335" max="3335" width="8.81640625" style="372" bestFit="1" customWidth="1"/>
    <col min="3336" max="3337" width="11.453125" style="372" customWidth="1"/>
    <col min="3338" max="3338" width="9.26953125" style="372" customWidth="1"/>
    <col min="3339" max="3340" width="8.81640625" style="372" bestFit="1" customWidth="1"/>
    <col min="3341" max="3341" width="9.453125" style="372" bestFit="1" customWidth="1"/>
    <col min="3342" max="3585" width="8.7265625" style="372"/>
    <col min="3586" max="3586" width="13.7265625" style="372" customWidth="1"/>
    <col min="3587" max="3587" width="13.26953125" style="372" customWidth="1"/>
    <col min="3588" max="3588" width="9.1796875" style="372" bestFit="1" customWidth="1"/>
    <col min="3589" max="3589" width="9.54296875" style="372" bestFit="1" customWidth="1"/>
    <col min="3590" max="3590" width="9" style="372" customWidth="1"/>
    <col min="3591" max="3591" width="8.81640625" style="372" bestFit="1" customWidth="1"/>
    <col min="3592" max="3593" width="11.453125" style="372" customWidth="1"/>
    <col min="3594" max="3594" width="9.26953125" style="372" customWidth="1"/>
    <col min="3595" max="3596" width="8.81640625" style="372" bestFit="1" customWidth="1"/>
    <col min="3597" max="3597" width="9.453125" style="372" bestFit="1" customWidth="1"/>
    <col min="3598" max="3841" width="8.7265625" style="372"/>
    <col min="3842" max="3842" width="13.7265625" style="372" customWidth="1"/>
    <col min="3843" max="3843" width="13.26953125" style="372" customWidth="1"/>
    <col min="3844" max="3844" width="9.1796875" style="372" bestFit="1" customWidth="1"/>
    <col min="3845" max="3845" width="9.54296875" style="372" bestFit="1" customWidth="1"/>
    <col min="3846" max="3846" width="9" style="372" customWidth="1"/>
    <col min="3847" max="3847" width="8.81640625" style="372" bestFit="1" customWidth="1"/>
    <col min="3848" max="3849" width="11.453125" style="372" customWidth="1"/>
    <col min="3850" max="3850" width="9.26953125" style="372" customWidth="1"/>
    <col min="3851" max="3852" width="8.81640625" style="372" bestFit="1" customWidth="1"/>
    <col min="3853" max="3853" width="9.453125" style="372" bestFit="1" customWidth="1"/>
    <col min="3854" max="4097" width="8.7265625" style="372"/>
    <col min="4098" max="4098" width="13.7265625" style="372" customWidth="1"/>
    <col min="4099" max="4099" width="13.26953125" style="372" customWidth="1"/>
    <col min="4100" max="4100" width="9.1796875" style="372" bestFit="1" customWidth="1"/>
    <col min="4101" max="4101" width="9.54296875" style="372" bestFit="1" customWidth="1"/>
    <col min="4102" max="4102" width="9" style="372" customWidth="1"/>
    <col min="4103" max="4103" width="8.81640625" style="372" bestFit="1" customWidth="1"/>
    <col min="4104" max="4105" width="11.453125" style="372" customWidth="1"/>
    <col min="4106" max="4106" width="9.26953125" style="372" customWidth="1"/>
    <col min="4107" max="4108" width="8.81640625" style="372" bestFit="1" customWidth="1"/>
    <col min="4109" max="4109" width="9.453125" style="372" bestFit="1" customWidth="1"/>
    <col min="4110" max="4353" width="8.7265625" style="372"/>
    <col min="4354" max="4354" width="13.7265625" style="372" customWidth="1"/>
    <col min="4355" max="4355" width="13.26953125" style="372" customWidth="1"/>
    <col min="4356" max="4356" width="9.1796875" style="372" bestFit="1" customWidth="1"/>
    <col min="4357" max="4357" width="9.54296875" style="372" bestFit="1" customWidth="1"/>
    <col min="4358" max="4358" width="9" style="372" customWidth="1"/>
    <col min="4359" max="4359" width="8.81640625" style="372" bestFit="1" customWidth="1"/>
    <col min="4360" max="4361" width="11.453125" style="372" customWidth="1"/>
    <col min="4362" max="4362" width="9.26953125" style="372" customWidth="1"/>
    <col min="4363" max="4364" width="8.81640625" style="372" bestFit="1" customWidth="1"/>
    <col min="4365" max="4365" width="9.453125" style="372" bestFit="1" customWidth="1"/>
    <col min="4366" max="4609" width="8.7265625" style="372"/>
    <col min="4610" max="4610" width="13.7265625" style="372" customWidth="1"/>
    <col min="4611" max="4611" width="13.26953125" style="372" customWidth="1"/>
    <col min="4612" max="4612" width="9.1796875" style="372" bestFit="1" customWidth="1"/>
    <col min="4613" max="4613" width="9.54296875" style="372" bestFit="1" customWidth="1"/>
    <col min="4614" max="4614" width="9" style="372" customWidth="1"/>
    <col min="4615" max="4615" width="8.81640625" style="372" bestFit="1" customWidth="1"/>
    <col min="4616" max="4617" width="11.453125" style="372" customWidth="1"/>
    <col min="4618" max="4618" width="9.26953125" style="372" customWidth="1"/>
    <col min="4619" max="4620" width="8.81640625" style="372" bestFit="1" customWidth="1"/>
    <col min="4621" max="4621" width="9.453125" style="372" bestFit="1" customWidth="1"/>
    <col min="4622" max="4865" width="8.7265625" style="372"/>
    <col min="4866" max="4866" width="13.7265625" style="372" customWidth="1"/>
    <col min="4867" max="4867" width="13.26953125" style="372" customWidth="1"/>
    <col min="4868" max="4868" width="9.1796875" style="372" bestFit="1" customWidth="1"/>
    <col min="4869" max="4869" width="9.54296875" style="372" bestFit="1" customWidth="1"/>
    <col min="4870" max="4870" width="9" style="372" customWidth="1"/>
    <col min="4871" max="4871" width="8.81640625" style="372" bestFit="1" customWidth="1"/>
    <col min="4872" max="4873" width="11.453125" style="372" customWidth="1"/>
    <col min="4874" max="4874" width="9.26953125" style="372" customWidth="1"/>
    <col min="4875" max="4876" width="8.81640625" style="372" bestFit="1" customWidth="1"/>
    <col min="4877" max="4877" width="9.453125" style="372" bestFit="1" customWidth="1"/>
    <col min="4878" max="5121" width="8.7265625" style="372"/>
    <col min="5122" max="5122" width="13.7265625" style="372" customWidth="1"/>
    <col min="5123" max="5123" width="13.26953125" style="372" customWidth="1"/>
    <col min="5124" max="5124" width="9.1796875" style="372" bestFit="1" customWidth="1"/>
    <col min="5125" max="5125" width="9.54296875" style="372" bestFit="1" customWidth="1"/>
    <col min="5126" max="5126" width="9" style="372" customWidth="1"/>
    <col min="5127" max="5127" width="8.81640625" style="372" bestFit="1" customWidth="1"/>
    <col min="5128" max="5129" width="11.453125" style="372" customWidth="1"/>
    <col min="5130" max="5130" width="9.26953125" style="372" customWidth="1"/>
    <col min="5131" max="5132" width="8.81640625" style="372" bestFit="1" customWidth="1"/>
    <col min="5133" max="5133" width="9.453125" style="372" bestFit="1" customWidth="1"/>
    <col min="5134" max="5377" width="8.7265625" style="372"/>
    <col min="5378" max="5378" width="13.7265625" style="372" customWidth="1"/>
    <col min="5379" max="5379" width="13.26953125" style="372" customWidth="1"/>
    <col min="5380" max="5380" width="9.1796875" style="372" bestFit="1" customWidth="1"/>
    <col min="5381" max="5381" width="9.54296875" style="372" bestFit="1" customWidth="1"/>
    <col min="5382" max="5382" width="9" style="372" customWidth="1"/>
    <col min="5383" max="5383" width="8.81640625" style="372" bestFit="1" customWidth="1"/>
    <col min="5384" max="5385" width="11.453125" style="372" customWidth="1"/>
    <col min="5386" max="5386" width="9.26953125" style="372" customWidth="1"/>
    <col min="5387" max="5388" width="8.81640625" style="372" bestFit="1" customWidth="1"/>
    <col min="5389" max="5389" width="9.453125" style="372" bestFit="1" customWidth="1"/>
    <col min="5390" max="5633" width="8.7265625" style="372"/>
    <col min="5634" max="5634" width="13.7265625" style="372" customWidth="1"/>
    <col min="5635" max="5635" width="13.26953125" style="372" customWidth="1"/>
    <col min="5636" max="5636" width="9.1796875" style="372" bestFit="1" customWidth="1"/>
    <col min="5637" max="5637" width="9.54296875" style="372" bestFit="1" customWidth="1"/>
    <col min="5638" max="5638" width="9" style="372" customWidth="1"/>
    <col min="5639" max="5639" width="8.81640625" style="372" bestFit="1" customWidth="1"/>
    <col min="5640" max="5641" width="11.453125" style="372" customWidth="1"/>
    <col min="5642" max="5642" width="9.26953125" style="372" customWidth="1"/>
    <col min="5643" max="5644" width="8.81640625" style="372" bestFit="1" customWidth="1"/>
    <col min="5645" max="5645" width="9.453125" style="372" bestFit="1" customWidth="1"/>
    <col min="5646" max="5889" width="8.7265625" style="372"/>
    <col min="5890" max="5890" width="13.7265625" style="372" customWidth="1"/>
    <col min="5891" max="5891" width="13.26953125" style="372" customWidth="1"/>
    <col min="5892" max="5892" width="9.1796875" style="372" bestFit="1" customWidth="1"/>
    <col min="5893" max="5893" width="9.54296875" style="372" bestFit="1" customWidth="1"/>
    <col min="5894" max="5894" width="9" style="372" customWidth="1"/>
    <col min="5895" max="5895" width="8.81640625" style="372" bestFit="1" customWidth="1"/>
    <col min="5896" max="5897" width="11.453125" style="372" customWidth="1"/>
    <col min="5898" max="5898" width="9.26953125" style="372" customWidth="1"/>
    <col min="5899" max="5900" width="8.81640625" style="372" bestFit="1" customWidth="1"/>
    <col min="5901" max="5901" width="9.453125" style="372" bestFit="1" customWidth="1"/>
    <col min="5902" max="6145" width="8.7265625" style="372"/>
    <col min="6146" max="6146" width="13.7265625" style="372" customWidth="1"/>
    <col min="6147" max="6147" width="13.26953125" style="372" customWidth="1"/>
    <col min="6148" max="6148" width="9.1796875" style="372" bestFit="1" customWidth="1"/>
    <col min="6149" max="6149" width="9.54296875" style="372" bestFit="1" customWidth="1"/>
    <col min="6150" max="6150" width="9" style="372" customWidth="1"/>
    <col min="6151" max="6151" width="8.81640625" style="372" bestFit="1" customWidth="1"/>
    <col min="6152" max="6153" width="11.453125" style="372" customWidth="1"/>
    <col min="6154" max="6154" width="9.26953125" style="372" customWidth="1"/>
    <col min="6155" max="6156" width="8.81640625" style="372" bestFit="1" customWidth="1"/>
    <col min="6157" max="6157" width="9.453125" style="372" bestFit="1" customWidth="1"/>
    <col min="6158" max="6401" width="8.7265625" style="372"/>
    <col min="6402" max="6402" width="13.7265625" style="372" customWidth="1"/>
    <col min="6403" max="6403" width="13.26953125" style="372" customWidth="1"/>
    <col min="6404" max="6404" width="9.1796875" style="372" bestFit="1" customWidth="1"/>
    <col min="6405" max="6405" width="9.54296875" style="372" bestFit="1" customWidth="1"/>
    <col min="6406" max="6406" width="9" style="372" customWidth="1"/>
    <col min="6407" max="6407" width="8.81640625" style="372" bestFit="1" customWidth="1"/>
    <col min="6408" max="6409" width="11.453125" style="372" customWidth="1"/>
    <col min="6410" max="6410" width="9.26953125" style="372" customWidth="1"/>
    <col min="6411" max="6412" width="8.81640625" style="372" bestFit="1" customWidth="1"/>
    <col min="6413" max="6413" width="9.453125" style="372" bestFit="1" customWidth="1"/>
    <col min="6414" max="6657" width="8.7265625" style="372"/>
    <col min="6658" max="6658" width="13.7265625" style="372" customWidth="1"/>
    <col min="6659" max="6659" width="13.26953125" style="372" customWidth="1"/>
    <col min="6660" max="6660" width="9.1796875" style="372" bestFit="1" customWidth="1"/>
    <col min="6661" max="6661" width="9.54296875" style="372" bestFit="1" customWidth="1"/>
    <col min="6662" max="6662" width="9" style="372" customWidth="1"/>
    <col min="6663" max="6663" width="8.81640625" style="372" bestFit="1" customWidth="1"/>
    <col min="6664" max="6665" width="11.453125" style="372" customWidth="1"/>
    <col min="6666" max="6666" width="9.26953125" style="372" customWidth="1"/>
    <col min="6667" max="6668" width="8.81640625" style="372" bestFit="1" customWidth="1"/>
    <col min="6669" max="6669" width="9.453125" style="372" bestFit="1" customWidth="1"/>
    <col min="6670" max="6913" width="8.7265625" style="372"/>
    <col min="6914" max="6914" width="13.7265625" style="372" customWidth="1"/>
    <col min="6915" max="6915" width="13.26953125" style="372" customWidth="1"/>
    <col min="6916" max="6916" width="9.1796875" style="372" bestFit="1" customWidth="1"/>
    <col min="6917" max="6917" width="9.54296875" style="372" bestFit="1" customWidth="1"/>
    <col min="6918" max="6918" width="9" style="372" customWidth="1"/>
    <col min="6919" max="6919" width="8.81640625" style="372" bestFit="1" customWidth="1"/>
    <col min="6920" max="6921" width="11.453125" style="372" customWidth="1"/>
    <col min="6922" max="6922" width="9.26953125" style="372" customWidth="1"/>
    <col min="6923" max="6924" width="8.81640625" style="372" bestFit="1" customWidth="1"/>
    <col min="6925" max="6925" width="9.453125" style="372" bestFit="1" customWidth="1"/>
    <col min="6926" max="7169" width="8.7265625" style="372"/>
    <col min="7170" max="7170" width="13.7265625" style="372" customWidth="1"/>
    <col min="7171" max="7171" width="13.26953125" style="372" customWidth="1"/>
    <col min="7172" max="7172" width="9.1796875" style="372" bestFit="1" customWidth="1"/>
    <col min="7173" max="7173" width="9.54296875" style="372" bestFit="1" customWidth="1"/>
    <col min="7174" max="7174" width="9" style="372" customWidth="1"/>
    <col min="7175" max="7175" width="8.81640625" style="372" bestFit="1" customWidth="1"/>
    <col min="7176" max="7177" width="11.453125" style="372" customWidth="1"/>
    <col min="7178" max="7178" width="9.26953125" style="372" customWidth="1"/>
    <col min="7179" max="7180" width="8.81640625" style="372" bestFit="1" customWidth="1"/>
    <col min="7181" max="7181" width="9.453125" style="372" bestFit="1" customWidth="1"/>
    <col min="7182" max="7425" width="8.7265625" style="372"/>
    <col min="7426" max="7426" width="13.7265625" style="372" customWidth="1"/>
    <col min="7427" max="7427" width="13.26953125" style="372" customWidth="1"/>
    <col min="7428" max="7428" width="9.1796875" style="372" bestFit="1" customWidth="1"/>
    <col min="7429" max="7429" width="9.54296875" style="372" bestFit="1" customWidth="1"/>
    <col min="7430" max="7430" width="9" style="372" customWidth="1"/>
    <col min="7431" max="7431" width="8.81640625" style="372" bestFit="1" customWidth="1"/>
    <col min="7432" max="7433" width="11.453125" style="372" customWidth="1"/>
    <col min="7434" max="7434" width="9.26953125" style="372" customWidth="1"/>
    <col min="7435" max="7436" width="8.81640625" style="372" bestFit="1" customWidth="1"/>
    <col min="7437" max="7437" width="9.453125" style="372" bestFit="1" customWidth="1"/>
    <col min="7438" max="7681" width="8.7265625" style="372"/>
    <col min="7682" max="7682" width="13.7265625" style="372" customWidth="1"/>
    <col min="7683" max="7683" width="13.26953125" style="372" customWidth="1"/>
    <col min="7684" max="7684" width="9.1796875" style="372" bestFit="1" customWidth="1"/>
    <col min="7685" max="7685" width="9.54296875" style="372" bestFit="1" customWidth="1"/>
    <col min="7686" max="7686" width="9" style="372" customWidth="1"/>
    <col min="7687" max="7687" width="8.81640625" style="372" bestFit="1" customWidth="1"/>
    <col min="7688" max="7689" width="11.453125" style="372" customWidth="1"/>
    <col min="7690" max="7690" width="9.26953125" style="372" customWidth="1"/>
    <col min="7691" max="7692" width="8.81640625" style="372" bestFit="1" customWidth="1"/>
    <col min="7693" max="7693" width="9.453125" style="372" bestFit="1" customWidth="1"/>
    <col min="7694" max="7937" width="8.7265625" style="372"/>
    <col min="7938" max="7938" width="13.7265625" style="372" customWidth="1"/>
    <col min="7939" max="7939" width="13.26953125" style="372" customWidth="1"/>
    <col min="7940" max="7940" width="9.1796875" style="372" bestFit="1" customWidth="1"/>
    <col min="7941" max="7941" width="9.54296875" style="372" bestFit="1" customWidth="1"/>
    <col min="7942" max="7942" width="9" style="372" customWidth="1"/>
    <col min="7943" max="7943" width="8.81640625" style="372" bestFit="1" customWidth="1"/>
    <col min="7944" max="7945" width="11.453125" style="372" customWidth="1"/>
    <col min="7946" max="7946" width="9.26953125" style="372" customWidth="1"/>
    <col min="7947" max="7948" width="8.81640625" style="372" bestFit="1" customWidth="1"/>
    <col min="7949" max="7949" width="9.453125" style="372" bestFit="1" customWidth="1"/>
    <col min="7950" max="8193" width="8.7265625" style="372"/>
    <col min="8194" max="8194" width="13.7265625" style="372" customWidth="1"/>
    <col min="8195" max="8195" width="13.26953125" style="372" customWidth="1"/>
    <col min="8196" max="8196" width="9.1796875" style="372" bestFit="1" customWidth="1"/>
    <col min="8197" max="8197" width="9.54296875" style="372" bestFit="1" customWidth="1"/>
    <col min="8198" max="8198" width="9" style="372" customWidth="1"/>
    <col min="8199" max="8199" width="8.81640625" style="372" bestFit="1" customWidth="1"/>
    <col min="8200" max="8201" width="11.453125" style="372" customWidth="1"/>
    <col min="8202" max="8202" width="9.26953125" style="372" customWidth="1"/>
    <col min="8203" max="8204" width="8.81640625" style="372" bestFit="1" customWidth="1"/>
    <col min="8205" max="8205" width="9.453125" style="372" bestFit="1" customWidth="1"/>
    <col min="8206" max="8449" width="8.7265625" style="372"/>
    <col min="8450" max="8450" width="13.7265625" style="372" customWidth="1"/>
    <col min="8451" max="8451" width="13.26953125" style="372" customWidth="1"/>
    <col min="8452" max="8452" width="9.1796875" style="372" bestFit="1" customWidth="1"/>
    <col min="8453" max="8453" width="9.54296875" style="372" bestFit="1" customWidth="1"/>
    <col min="8454" max="8454" width="9" style="372" customWidth="1"/>
    <col min="8455" max="8455" width="8.81640625" style="372" bestFit="1" customWidth="1"/>
    <col min="8456" max="8457" width="11.453125" style="372" customWidth="1"/>
    <col min="8458" max="8458" width="9.26953125" style="372" customWidth="1"/>
    <col min="8459" max="8460" width="8.81640625" style="372" bestFit="1" customWidth="1"/>
    <col min="8461" max="8461" width="9.453125" style="372" bestFit="1" customWidth="1"/>
    <col min="8462" max="8705" width="8.7265625" style="372"/>
    <col min="8706" max="8706" width="13.7265625" style="372" customWidth="1"/>
    <col min="8707" max="8707" width="13.26953125" style="372" customWidth="1"/>
    <col min="8708" max="8708" width="9.1796875" style="372" bestFit="1" customWidth="1"/>
    <col min="8709" max="8709" width="9.54296875" style="372" bestFit="1" customWidth="1"/>
    <col min="8710" max="8710" width="9" style="372" customWidth="1"/>
    <col min="8711" max="8711" width="8.81640625" style="372" bestFit="1" customWidth="1"/>
    <col min="8712" max="8713" width="11.453125" style="372" customWidth="1"/>
    <col min="8714" max="8714" width="9.26953125" style="372" customWidth="1"/>
    <col min="8715" max="8716" width="8.81640625" style="372" bestFit="1" customWidth="1"/>
    <col min="8717" max="8717" width="9.453125" style="372" bestFit="1" customWidth="1"/>
    <col min="8718" max="8961" width="8.7265625" style="372"/>
    <col min="8962" max="8962" width="13.7265625" style="372" customWidth="1"/>
    <col min="8963" max="8963" width="13.26953125" style="372" customWidth="1"/>
    <col min="8964" max="8964" width="9.1796875" style="372" bestFit="1" customWidth="1"/>
    <col min="8965" max="8965" width="9.54296875" style="372" bestFit="1" customWidth="1"/>
    <col min="8966" max="8966" width="9" style="372" customWidth="1"/>
    <col min="8967" max="8967" width="8.81640625" style="372" bestFit="1" customWidth="1"/>
    <col min="8968" max="8969" width="11.453125" style="372" customWidth="1"/>
    <col min="8970" max="8970" width="9.26953125" style="372" customWidth="1"/>
    <col min="8971" max="8972" width="8.81640625" style="372" bestFit="1" customWidth="1"/>
    <col min="8973" max="8973" width="9.453125" style="372" bestFit="1" customWidth="1"/>
    <col min="8974" max="9217" width="8.7265625" style="372"/>
    <col min="9218" max="9218" width="13.7265625" style="372" customWidth="1"/>
    <col min="9219" max="9219" width="13.26953125" style="372" customWidth="1"/>
    <col min="9220" max="9220" width="9.1796875" style="372" bestFit="1" customWidth="1"/>
    <col min="9221" max="9221" width="9.54296875" style="372" bestFit="1" customWidth="1"/>
    <col min="9222" max="9222" width="9" style="372" customWidth="1"/>
    <col min="9223" max="9223" width="8.81640625" style="372" bestFit="1" customWidth="1"/>
    <col min="9224" max="9225" width="11.453125" style="372" customWidth="1"/>
    <col min="9226" max="9226" width="9.26953125" style="372" customWidth="1"/>
    <col min="9227" max="9228" width="8.81640625" style="372" bestFit="1" customWidth="1"/>
    <col min="9229" max="9229" width="9.453125" style="372" bestFit="1" customWidth="1"/>
    <col min="9230" max="9473" width="8.7265625" style="372"/>
    <col min="9474" max="9474" width="13.7265625" style="372" customWidth="1"/>
    <col min="9475" max="9475" width="13.26953125" style="372" customWidth="1"/>
    <col min="9476" max="9476" width="9.1796875" style="372" bestFit="1" customWidth="1"/>
    <col min="9477" max="9477" width="9.54296875" style="372" bestFit="1" customWidth="1"/>
    <col min="9478" max="9478" width="9" style="372" customWidth="1"/>
    <col min="9479" max="9479" width="8.81640625" style="372" bestFit="1" customWidth="1"/>
    <col min="9480" max="9481" width="11.453125" style="372" customWidth="1"/>
    <col min="9482" max="9482" width="9.26953125" style="372" customWidth="1"/>
    <col min="9483" max="9484" width="8.81640625" style="372" bestFit="1" customWidth="1"/>
    <col min="9485" max="9485" width="9.453125" style="372" bestFit="1" customWidth="1"/>
    <col min="9486" max="9729" width="8.7265625" style="372"/>
    <col min="9730" max="9730" width="13.7265625" style="372" customWidth="1"/>
    <col min="9731" max="9731" width="13.26953125" style="372" customWidth="1"/>
    <col min="9732" max="9732" width="9.1796875" style="372" bestFit="1" customWidth="1"/>
    <col min="9733" max="9733" width="9.54296875" style="372" bestFit="1" customWidth="1"/>
    <col min="9734" max="9734" width="9" style="372" customWidth="1"/>
    <col min="9735" max="9735" width="8.81640625" style="372" bestFit="1" customWidth="1"/>
    <col min="9736" max="9737" width="11.453125" style="372" customWidth="1"/>
    <col min="9738" max="9738" width="9.26953125" style="372" customWidth="1"/>
    <col min="9739" max="9740" width="8.81640625" style="372" bestFit="1" customWidth="1"/>
    <col min="9741" max="9741" width="9.453125" style="372" bestFit="1" customWidth="1"/>
    <col min="9742" max="9985" width="8.7265625" style="372"/>
    <col min="9986" max="9986" width="13.7265625" style="372" customWidth="1"/>
    <col min="9987" max="9987" width="13.26953125" style="372" customWidth="1"/>
    <col min="9988" max="9988" width="9.1796875" style="372" bestFit="1" customWidth="1"/>
    <col min="9989" max="9989" width="9.54296875" style="372" bestFit="1" customWidth="1"/>
    <col min="9990" max="9990" width="9" style="372" customWidth="1"/>
    <col min="9991" max="9991" width="8.81640625" style="372" bestFit="1" customWidth="1"/>
    <col min="9992" max="9993" width="11.453125" style="372" customWidth="1"/>
    <col min="9994" max="9994" width="9.26953125" style="372" customWidth="1"/>
    <col min="9995" max="9996" width="8.81640625" style="372" bestFit="1" customWidth="1"/>
    <col min="9997" max="9997" width="9.453125" style="372" bestFit="1" customWidth="1"/>
    <col min="9998" max="10241" width="8.7265625" style="372"/>
    <col min="10242" max="10242" width="13.7265625" style="372" customWidth="1"/>
    <col min="10243" max="10243" width="13.26953125" style="372" customWidth="1"/>
    <col min="10244" max="10244" width="9.1796875" style="372" bestFit="1" customWidth="1"/>
    <col min="10245" max="10245" width="9.54296875" style="372" bestFit="1" customWidth="1"/>
    <col min="10246" max="10246" width="9" style="372" customWidth="1"/>
    <col min="10247" max="10247" width="8.81640625" style="372" bestFit="1" customWidth="1"/>
    <col min="10248" max="10249" width="11.453125" style="372" customWidth="1"/>
    <col min="10250" max="10250" width="9.26953125" style="372" customWidth="1"/>
    <col min="10251" max="10252" width="8.81640625" style="372" bestFit="1" customWidth="1"/>
    <col min="10253" max="10253" width="9.453125" style="372" bestFit="1" customWidth="1"/>
    <col min="10254" max="10497" width="8.7265625" style="372"/>
    <col min="10498" max="10498" width="13.7265625" style="372" customWidth="1"/>
    <col min="10499" max="10499" width="13.26953125" style="372" customWidth="1"/>
    <col min="10500" max="10500" width="9.1796875" style="372" bestFit="1" customWidth="1"/>
    <col min="10501" max="10501" width="9.54296875" style="372" bestFit="1" customWidth="1"/>
    <col min="10502" max="10502" width="9" style="372" customWidth="1"/>
    <col min="10503" max="10503" width="8.81640625" style="372" bestFit="1" customWidth="1"/>
    <col min="10504" max="10505" width="11.453125" style="372" customWidth="1"/>
    <col min="10506" max="10506" width="9.26953125" style="372" customWidth="1"/>
    <col min="10507" max="10508" width="8.81640625" style="372" bestFit="1" customWidth="1"/>
    <col min="10509" max="10509" width="9.453125" style="372" bestFit="1" customWidth="1"/>
    <col min="10510" max="10753" width="8.7265625" style="372"/>
    <col min="10754" max="10754" width="13.7265625" style="372" customWidth="1"/>
    <col min="10755" max="10755" width="13.26953125" style="372" customWidth="1"/>
    <col min="10756" max="10756" width="9.1796875" style="372" bestFit="1" customWidth="1"/>
    <col min="10757" max="10757" width="9.54296875" style="372" bestFit="1" customWidth="1"/>
    <col min="10758" max="10758" width="9" style="372" customWidth="1"/>
    <col min="10759" max="10759" width="8.81640625" style="372" bestFit="1" customWidth="1"/>
    <col min="10760" max="10761" width="11.453125" style="372" customWidth="1"/>
    <col min="10762" max="10762" width="9.26953125" style="372" customWidth="1"/>
    <col min="10763" max="10764" width="8.81640625" style="372" bestFit="1" customWidth="1"/>
    <col min="10765" max="10765" width="9.453125" style="372" bestFit="1" customWidth="1"/>
    <col min="10766" max="11009" width="8.7265625" style="372"/>
    <col min="11010" max="11010" width="13.7265625" style="372" customWidth="1"/>
    <col min="11011" max="11011" width="13.26953125" style="372" customWidth="1"/>
    <col min="11012" max="11012" width="9.1796875" style="372" bestFit="1" customWidth="1"/>
    <col min="11013" max="11013" width="9.54296875" style="372" bestFit="1" customWidth="1"/>
    <col min="11014" max="11014" width="9" style="372" customWidth="1"/>
    <col min="11015" max="11015" width="8.81640625" style="372" bestFit="1" customWidth="1"/>
    <col min="11016" max="11017" width="11.453125" style="372" customWidth="1"/>
    <col min="11018" max="11018" width="9.26953125" style="372" customWidth="1"/>
    <col min="11019" max="11020" width="8.81640625" style="372" bestFit="1" customWidth="1"/>
    <col min="11021" max="11021" width="9.453125" style="372" bestFit="1" customWidth="1"/>
    <col min="11022" max="11265" width="8.7265625" style="372"/>
    <col min="11266" max="11266" width="13.7265625" style="372" customWidth="1"/>
    <col min="11267" max="11267" width="13.26953125" style="372" customWidth="1"/>
    <col min="11268" max="11268" width="9.1796875" style="372" bestFit="1" customWidth="1"/>
    <col min="11269" max="11269" width="9.54296875" style="372" bestFit="1" customWidth="1"/>
    <col min="11270" max="11270" width="9" style="372" customWidth="1"/>
    <col min="11271" max="11271" width="8.81640625" style="372" bestFit="1" customWidth="1"/>
    <col min="11272" max="11273" width="11.453125" style="372" customWidth="1"/>
    <col min="11274" max="11274" width="9.26953125" style="372" customWidth="1"/>
    <col min="11275" max="11276" width="8.81640625" style="372" bestFit="1" customWidth="1"/>
    <col min="11277" max="11277" width="9.453125" style="372" bestFit="1" customWidth="1"/>
    <col min="11278" max="11521" width="8.7265625" style="372"/>
    <col min="11522" max="11522" width="13.7265625" style="372" customWidth="1"/>
    <col min="11523" max="11523" width="13.26953125" style="372" customWidth="1"/>
    <col min="11524" max="11524" width="9.1796875" style="372" bestFit="1" customWidth="1"/>
    <col min="11525" max="11525" width="9.54296875" style="372" bestFit="1" customWidth="1"/>
    <col min="11526" max="11526" width="9" style="372" customWidth="1"/>
    <col min="11527" max="11527" width="8.81640625" style="372" bestFit="1" customWidth="1"/>
    <col min="11528" max="11529" width="11.453125" style="372" customWidth="1"/>
    <col min="11530" max="11530" width="9.26953125" style="372" customWidth="1"/>
    <col min="11531" max="11532" width="8.81640625" style="372" bestFit="1" customWidth="1"/>
    <col min="11533" max="11533" width="9.453125" style="372" bestFit="1" customWidth="1"/>
    <col min="11534" max="11777" width="8.7265625" style="372"/>
    <col min="11778" max="11778" width="13.7265625" style="372" customWidth="1"/>
    <col min="11779" max="11779" width="13.26953125" style="372" customWidth="1"/>
    <col min="11780" max="11780" width="9.1796875" style="372" bestFit="1" customWidth="1"/>
    <col min="11781" max="11781" width="9.54296875" style="372" bestFit="1" customWidth="1"/>
    <col min="11782" max="11782" width="9" style="372" customWidth="1"/>
    <col min="11783" max="11783" width="8.81640625" style="372" bestFit="1" customWidth="1"/>
    <col min="11784" max="11785" width="11.453125" style="372" customWidth="1"/>
    <col min="11786" max="11786" width="9.26953125" style="372" customWidth="1"/>
    <col min="11787" max="11788" width="8.81640625" style="372" bestFit="1" customWidth="1"/>
    <col min="11789" max="11789" width="9.453125" style="372" bestFit="1" customWidth="1"/>
    <col min="11790" max="12033" width="8.7265625" style="372"/>
    <col min="12034" max="12034" width="13.7265625" style="372" customWidth="1"/>
    <col min="12035" max="12035" width="13.26953125" style="372" customWidth="1"/>
    <col min="12036" max="12036" width="9.1796875" style="372" bestFit="1" customWidth="1"/>
    <col min="12037" max="12037" width="9.54296875" style="372" bestFit="1" customWidth="1"/>
    <col min="12038" max="12038" width="9" style="372" customWidth="1"/>
    <col min="12039" max="12039" width="8.81640625" style="372" bestFit="1" customWidth="1"/>
    <col min="12040" max="12041" width="11.453125" style="372" customWidth="1"/>
    <col min="12042" max="12042" width="9.26953125" style="372" customWidth="1"/>
    <col min="12043" max="12044" width="8.81640625" style="372" bestFit="1" customWidth="1"/>
    <col min="12045" max="12045" width="9.453125" style="372" bestFit="1" customWidth="1"/>
    <col min="12046" max="12289" width="8.7265625" style="372"/>
    <col min="12290" max="12290" width="13.7265625" style="372" customWidth="1"/>
    <col min="12291" max="12291" width="13.26953125" style="372" customWidth="1"/>
    <col min="12292" max="12292" width="9.1796875" style="372" bestFit="1" customWidth="1"/>
    <col min="12293" max="12293" width="9.54296875" style="372" bestFit="1" customWidth="1"/>
    <col min="12294" max="12294" width="9" style="372" customWidth="1"/>
    <col min="12295" max="12295" width="8.81640625" style="372" bestFit="1" customWidth="1"/>
    <col min="12296" max="12297" width="11.453125" style="372" customWidth="1"/>
    <col min="12298" max="12298" width="9.26953125" style="372" customWidth="1"/>
    <col min="12299" max="12300" width="8.81640625" style="372" bestFit="1" customWidth="1"/>
    <col min="12301" max="12301" width="9.453125" style="372" bestFit="1" customWidth="1"/>
    <col min="12302" max="12545" width="8.7265625" style="372"/>
    <col min="12546" max="12546" width="13.7265625" style="372" customWidth="1"/>
    <col min="12547" max="12547" width="13.26953125" style="372" customWidth="1"/>
    <col min="12548" max="12548" width="9.1796875" style="372" bestFit="1" customWidth="1"/>
    <col min="12549" max="12549" width="9.54296875" style="372" bestFit="1" customWidth="1"/>
    <col min="12550" max="12550" width="9" style="372" customWidth="1"/>
    <col min="12551" max="12551" width="8.81640625" style="372" bestFit="1" customWidth="1"/>
    <col min="12552" max="12553" width="11.453125" style="372" customWidth="1"/>
    <col min="12554" max="12554" width="9.26953125" style="372" customWidth="1"/>
    <col min="12555" max="12556" width="8.81640625" style="372" bestFit="1" customWidth="1"/>
    <col min="12557" max="12557" width="9.453125" style="372" bestFit="1" customWidth="1"/>
    <col min="12558" max="12801" width="8.7265625" style="372"/>
    <col min="12802" max="12802" width="13.7265625" style="372" customWidth="1"/>
    <col min="12803" max="12803" width="13.26953125" style="372" customWidth="1"/>
    <col min="12804" max="12804" width="9.1796875" style="372" bestFit="1" customWidth="1"/>
    <col min="12805" max="12805" width="9.54296875" style="372" bestFit="1" customWidth="1"/>
    <col min="12806" max="12806" width="9" style="372" customWidth="1"/>
    <col min="12807" max="12807" width="8.81640625" style="372" bestFit="1" customWidth="1"/>
    <col min="12808" max="12809" width="11.453125" style="372" customWidth="1"/>
    <col min="12810" max="12810" width="9.26953125" style="372" customWidth="1"/>
    <col min="12811" max="12812" width="8.81640625" style="372" bestFit="1" customWidth="1"/>
    <col min="12813" max="12813" width="9.453125" style="372" bestFit="1" customWidth="1"/>
    <col min="12814" max="13057" width="8.7265625" style="372"/>
    <col min="13058" max="13058" width="13.7265625" style="372" customWidth="1"/>
    <col min="13059" max="13059" width="13.26953125" style="372" customWidth="1"/>
    <col min="13060" max="13060" width="9.1796875" style="372" bestFit="1" customWidth="1"/>
    <col min="13061" max="13061" width="9.54296875" style="372" bestFit="1" customWidth="1"/>
    <col min="13062" max="13062" width="9" style="372" customWidth="1"/>
    <col min="13063" max="13063" width="8.81640625" style="372" bestFit="1" customWidth="1"/>
    <col min="13064" max="13065" width="11.453125" style="372" customWidth="1"/>
    <col min="13066" max="13066" width="9.26953125" style="372" customWidth="1"/>
    <col min="13067" max="13068" width="8.81640625" style="372" bestFit="1" customWidth="1"/>
    <col min="13069" max="13069" width="9.453125" style="372" bestFit="1" customWidth="1"/>
    <col min="13070" max="13313" width="8.7265625" style="372"/>
    <col min="13314" max="13314" width="13.7265625" style="372" customWidth="1"/>
    <col min="13315" max="13315" width="13.26953125" style="372" customWidth="1"/>
    <col min="13316" max="13316" width="9.1796875" style="372" bestFit="1" customWidth="1"/>
    <col min="13317" max="13317" width="9.54296875" style="372" bestFit="1" customWidth="1"/>
    <col min="13318" max="13318" width="9" style="372" customWidth="1"/>
    <col min="13319" max="13319" width="8.81640625" style="372" bestFit="1" customWidth="1"/>
    <col min="13320" max="13321" width="11.453125" style="372" customWidth="1"/>
    <col min="13322" max="13322" width="9.26953125" style="372" customWidth="1"/>
    <col min="13323" max="13324" width="8.81640625" style="372" bestFit="1" customWidth="1"/>
    <col min="13325" max="13325" width="9.453125" style="372" bestFit="1" customWidth="1"/>
    <col min="13326" max="13569" width="8.7265625" style="372"/>
    <col min="13570" max="13570" width="13.7265625" style="372" customWidth="1"/>
    <col min="13571" max="13571" width="13.26953125" style="372" customWidth="1"/>
    <col min="13572" max="13572" width="9.1796875" style="372" bestFit="1" customWidth="1"/>
    <col min="13573" max="13573" width="9.54296875" style="372" bestFit="1" customWidth="1"/>
    <col min="13574" max="13574" width="9" style="372" customWidth="1"/>
    <col min="13575" max="13575" width="8.81640625" style="372" bestFit="1" customWidth="1"/>
    <col min="13576" max="13577" width="11.453125" style="372" customWidth="1"/>
    <col min="13578" max="13578" width="9.26953125" style="372" customWidth="1"/>
    <col min="13579" max="13580" width="8.81640625" style="372" bestFit="1" customWidth="1"/>
    <col min="13581" max="13581" width="9.453125" style="372" bestFit="1" customWidth="1"/>
    <col min="13582" max="13825" width="8.7265625" style="372"/>
    <col min="13826" max="13826" width="13.7265625" style="372" customWidth="1"/>
    <col min="13827" max="13827" width="13.26953125" style="372" customWidth="1"/>
    <col min="13828" max="13828" width="9.1796875" style="372" bestFit="1" customWidth="1"/>
    <col min="13829" max="13829" width="9.54296875" style="372" bestFit="1" customWidth="1"/>
    <col min="13830" max="13830" width="9" style="372" customWidth="1"/>
    <col min="13831" max="13831" width="8.81640625" style="372" bestFit="1" customWidth="1"/>
    <col min="13832" max="13833" width="11.453125" style="372" customWidth="1"/>
    <col min="13834" max="13834" width="9.26953125" style="372" customWidth="1"/>
    <col min="13835" max="13836" width="8.81640625" style="372" bestFit="1" customWidth="1"/>
    <col min="13837" max="13837" width="9.453125" style="372" bestFit="1" customWidth="1"/>
    <col min="13838" max="14081" width="8.7265625" style="372"/>
    <col min="14082" max="14082" width="13.7265625" style="372" customWidth="1"/>
    <col min="14083" max="14083" width="13.26953125" style="372" customWidth="1"/>
    <col min="14084" max="14084" width="9.1796875" style="372" bestFit="1" customWidth="1"/>
    <col min="14085" max="14085" width="9.54296875" style="372" bestFit="1" customWidth="1"/>
    <col min="14086" max="14086" width="9" style="372" customWidth="1"/>
    <col min="14087" max="14087" width="8.81640625" style="372" bestFit="1" customWidth="1"/>
    <col min="14088" max="14089" width="11.453125" style="372" customWidth="1"/>
    <col min="14090" max="14090" width="9.26953125" style="372" customWidth="1"/>
    <col min="14091" max="14092" width="8.81640625" style="372" bestFit="1" customWidth="1"/>
    <col min="14093" max="14093" width="9.453125" style="372" bestFit="1" customWidth="1"/>
    <col min="14094" max="14337" width="8.7265625" style="372"/>
    <col min="14338" max="14338" width="13.7265625" style="372" customWidth="1"/>
    <col min="14339" max="14339" width="13.26953125" style="372" customWidth="1"/>
    <col min="14340" max="14340" width="9.1796875" style="372" bestFit="1" customWidth="1"/>
    <col min="14341" max="14341" width="9.54296875" style="372" bestFit="1" customWidth="1"/>
    <col min="14342" max="14342" width="9" style="372" customWidth="1"/>
    <col min="14343" max="14343" width="8.81640625" style="372" bestFit="1" customWidth="1"/>
    <col min="14344" max="14345" width="11.453125" style="372" customWidth="1"/>
    <col min="14346" max="14346" width="9.26953125" style="372" customWidth="1"/>
    <col min="14347" max="14348" width="8.81640625" style="372" bestFit="1" customWidth="1"/>
    <col min="14349" max="14349" width="9.453125" style="372" bestFit="1" customWidth="1"/>
    <col min="14350" max="14593" width="8.7265625" style="372"/>
    <col min="14594" max="14594" width="13.7265625" style="372" customWidth="1"/>
    <col min="14595" max="14595" width="13.26953125" style="372" customWidth="1"/>
    <col min="14596" max="14596" width="9.1796875" style="372" bestFit="1" customWidth="1"/>
    <col min="14597" max="14597" width="9.54296875" style="372" bestFit="1" customWidth="1"/>
    <col min="14598" max="14598" width="9" style="372" customWidth="1"/>
    <col min="14599" max="14599" width="8.81640625" style="372" bestFit="1" customWidth="1"/>
    <col min="14600" max="14601" width="11.453125" style="372" customWidth="1"/>
    <col min="14602" max="14602" width="9.26953125" style="372" customWidth="1"/>
    <col min="14603" max="14604" width="8.81640625" style="372" bestFit="1" customWidth="1"/>
    <col min="14605" max="14605" width="9.453125" style="372" bestFit="1" customWidth="1"/>
    <col min="14606" max="14849" width="8.7265625" style="372"/>
    <col min="14850" max="14850" width="13.7265625" style="372" customWidth="1"/>
    <col min="14851" max="14851" width="13.26953125" style="372" customWidth="1"/>
    <col min="14852" max="14852" width="9.1796875" style="372" bestFit="1" customWidth="1"/>
    <col min="14853" max="14853" width="9.54296875" style="372" bestFit="1" customWidth="1"/>
    <col min="14854" max="14854" width="9" style="372" customWidth="1"/>
    <col min="14855" max="14855" width="8.81640625" style="372" bestFit="1" customWidth="1"/>
    <col min="14856" max="14857" width="11.453125" style="372" customWidth="1"/>
    <col min="14858" max="14858" width="9.26953125" style="372" customWidth="1"/>
    <col min="14859" max="14860" width="8.81640625" style="372" bestFit="1" customWidth="1"/>
    <col min="14861" max="14861" width="9.453125" style="372" bestFit="1" customWidth="1"/>
    <col min="14862" max="15105" width="8.7265625" style="372"/>
    <col min="15106" max="15106" width="13.7265625" style="372" customWidth="1"/>
    <col min="15107" max="15107" width="13.26953125" style="372" customWidth="1"/>
    <col min="15108" max="15108" width="9.1796875" style="372" bestFit="1" customWidth="1"/>
    <col min="15109" max="15109" width="9.54296875" style="372" bestFit="1" customWidth="1"/>
    <col min="15110" max="15110" width="9" style="372" customWidth="1"/>
    <col min="15111" max="15111" width="8.81640625" style="372" bestFit="1" customWidth="1"/>
    <col min="15112" max="15113" width="11.453125" style="372" customWidth="1"/>
    <col min="15114" max="15114" width="9.26953125" style="372" customWidth="1"/>
    <col min="15115" max="15116" width="8.81640625" style="372" bestFit="1" customWidth="1"/>
    <col min="15117" max="15117" width="9.453125" style="372" bestFit="1" customWidth="1"/>
    <col min="15118" max="15361" width="8.7265625" style="372"/>
    <col min="15362" max="15362" width="13.7265625" style="372" customWidth="1"/>
    <col min="15363" max="15363" width="13.26953125" style="372" customWidth="1"/>
    <col min="15364" max="15364" width="9.1796875" style="372" bestFit="1" customWidth="1"/>
    <col min="15365" max="15365" width="9.54296875" style="372" bestFit="1" customWidth="1"/>
    <col min="15366" max="15366" width="9" style="372" customWidth="1"/>
    <col min="15367" max="15367" width="8.81640625" style="372" bestFit="1" customWidth="1"/>
    <col min="15368" max="15369" width="11.453125" style="372" customWidth="1"/>
    <col min="15370" max="15370" width="9.26953125" style="372" customWidth="1"/>
    <col min="15371" max="15372" width="8.81640625" style="372" bestFit="1" customWidth="1"/>
    <col min="15373" max="15373" width="9.453125" style="372" bestFit="1" customWidth="1"/>
    <col min="15374" max="15617" width="8.7265625" style="372"/>
    <col min="15618" max="15618" width="13.7265625" style="372" customWidth="1"/>
    <col min="15619" max="15619" width="13.26953125" style="372" customWidth="1"/>
    <col min="15620" max="15620" width="9.1796875" style="372" bestFit="1" customWidth="1"/>
    <col min="15621" max="15621" width="9.54296875" style="372" bestFit="1" customWidth="1"/>
    <col min="15622" max="15622" width="9" style="372" customWidth="1"/>
    <col min="15623" max="15623" width="8.81640625" style="372" bestFit="1" customWidth="1"/>
    <col min="15624" max="15625" width="11.453125" style="372" customWidth="1"/>
    <col min="15626" max="15626" width="9.26953125" style="372" customWidth="1"/>
    <col min="15627" max="15628" width="8.81640625" style="372" bestFit="1" customWidth="1"/>
    <col min="15629" max="15629" width="9.453125" style="372" bestFit="1" customWidth="1"/>
    <col min="15630" max="15873" width="8.7265625" style="372"/>
    <col min="15874" max="15874" width="13.7265625" style="372" customWidth="1"/>
    <col min="15875" max="15875" width="13.26953125" style="372" customWidth="1"/>
    <col min="15876" max="15876" width="9.1796875" style="372" bestFit="1" customWidth="1"/>
    <col min="15877" max="15877" width="9.54296875" style="372" bestFit="1" customWidth="1"/>
    <col min="15878" max="15878" width="9" style="372" customWidth="1"/>
    <col min="15879" max="15879" width="8.81640625" style="372" bestFit="1" customWidth="1"/>
    <col min="15880" max="15881" width="11.453125" style="372" customWidth="1"/>
    <col min="15882" max="15882" width="9.26953125" style="372" customWidth="1"/>
    <col min="15883" max="15884" width="8.81640625" style="372" bestFit="1" customWidth="1"/>
    <col min="15885" max="15885" width="9.453125" style="372" bestFit="1" customWidth="1"/>
    <col min="15886" max="16129" width="8.7265625" style="372"/>
    <col min="16130" max="16130" width="13.7265625" style="372" customWidth="1"/>
    <col min="16131" max="16131" width="13.26953125" style="372" customWidth="1"/>
    <col min="16132" max="16132" width="9.1796875" style="372" bestFit="1" customWidth="1"/>
    <col min="16133" max="16133" width="9.54296875" style="372" bestFit="1" customWidth="1"/>
    <col min="16134" max="16134" width="9" style="372" customWidth="1"/>
    <col min="16135" max="16135" width="8.81640625" style="372" bestFit="1" customWidth="1"/>
    <col min="16136" max="16137" width="11.453125" style="372" customWidth="1"/>
    <col min="16138" max="16138" width="9.26953125" style="372" customWidth="1"/>
    <col min="16139" max="16140" width="8.81640625" style="372" bestFit="1" customWidth="1"/>
    <col min="16141" max="16141" width="9.453125" style="372" bestFit="1" customWidth="1"/>
    <col min="16142" max="16384" width="8.7265625" style="372"/>
  </cols>
  <sheetData>
    <row r="3" spans="2:14" ht="25" customHeight="1">
      <c r="B3" s="258" t="s">
        <v>123</v>
      </c>
      <c r="C3" s="259">
        <v>4</v>
      </c>
      <c r="D3" s="259" t="s">
        <v>227</v>
      </c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2:14" ht="15" customHeight="1">
      <c r="B4" s="351"/>
      <c r="C4" s="352" t="s">
        <v>197</v>
      </c>
      <c r="D4" s="263"/>
      <c r="E4" s="264" t="s">
        <v>126</v>
      </c>
      <c r="F4" s="265"/>
      <c r="G4" s="266" t="s">
        <v>127</v>
      </c>
      <c r="H4" s="260"/>
      <c r="I4" s="260"/>
      <c r="J4" s="260"/>
      <c r="K4" s="260"/>
      <c r="L4" s="260"/>
      <c r="M4" s="260"/>
      <c r="N4" s="260"/>
    </row>
    <row r="5" spans="2:14" ht="15" customHeight="1">
      <c r="B5" s="308" t="s">
        <v>128</v>
      </c>
      <c r="C5" s="353">
        <v>74612.751770062459</v>
      </c>
      <c r="D5" s="90">
        <f>C5/$C$5</f>
        <v>1</v>
      </c>
      <c r="E5" s="355" t="e">
        <f>SUM(E6:E7)</f>
        <v>#VALUE!</v>
      </c>
      <c r="F5" s="91" t="e">
        <f>E5/$D$3</f>
        <v>#VALUE!</v>
      </c>
      <c r="G5" s="271" t="s">
        <v>129</v>
      </c>
      <c r="H5" s="260"/>
      <c r="I5" s="272" t="s">
        <v>130</v>
      </c>
      <c r="J5" s="87">
        <v>0.7</v>
      </c>
      <c r="K5" s="356">
        <f>J5*C5</f>
        <v>52228.926239043722</v>
      </c>
      <c r="L5" s="260"/>
      <c r="M5" s="260"/>
      <c r="N5" s="260"/>
    </row>
    <row r="6" spans="2:14" ht="15" customHeight="1">
      <c r="B6" s="357" t="s">
        <v>110</v>
      </c>
      <c r="C6" s="358">
        <f>0.85617724*C5</f>
        <v>63881.739879297187</v>
      </c>
      <c r="D6" s="354">
        <f t="shared" ref="D6:D7" si="0">C6/$C$5</f>
        <v>0.85617723999999995</v>
      </c>
      <c r="E6" s="359" t="e">
        <f>SUMIFS([15]Ram!H4:H1002,[15]Ram!D4:D1002,230,[15]Ram!G4:G1002,"S")</f>
        <v>#VALUE!</v>
      </c>
      <c r="F6" s="92" t="e">
        <f>E6/$D$3</f>
        <v>#VALUE!</v>
      </c>
      <c r="G6" s="360" t="e">
        <f>C6/E6</f>
        <v>#VALUE!</v>
      </c>
      <c r="H6" s="260"/>
      <c r="I6" s="272" t="s">
        <v>131</v>
      </c>
      <c r="J6" s="87">
        <v>0.3</v>
      </c>
      <c r="K6" s="356">
        <f>J6*C5</f>
        <v>22383.825531018738</v>
      </c>
      <c r="L6" s="260"/>
      <c r="M6" s="260"/>
      <c r="N6" s="260"/>
    </row>
    <row r="7" spans="2:14" ht="15" customHeight="1">
      <c r="B7" s="361" t="s">
        <v>132</v>
      </c>
      <c r="C7" s="362">
        <f>0.14382276*C5</f>
        <v>10731.011890765269</v>
      </c>
      <c r="D7" s="93">
        <f t="shared" si="0"/>
        <v>0.14382275999999999</v>
      </c>
      <c r="E7" s="363" t="e">
        <f>SUMIFS([15]Ram!H4:H1002,[15]Ram!D4:D1002,115,[15]Ram!G4:G1002,"S")</f>
        <v>#VALUE!</v>
      </c>
      <c r="F7" s="94" t="e">
        <f>E7/$D$3</f>
        <v>#VALUE!</v>
      </c>
      <c r="G7" s="364" t="e">
        <f>C7/E7</f>
        <v>#VALUE!</v>
      </c>
      <c r="H7" s="260"/>
      <c r="I7" s="260"/>
      <c r="J7" s="260"/>
      <c r="K7" s="260"/>
      <c r="L7" s="260"/>
      <c r="M7" s="260"/>
      <c r="N7" s="260"/>
    </row>
    <row r="8" spans="2:14" ht="15" customHeight="1">
      <c r="B8" s="283"/>
      <c r="C8" s="283"/>
      <c r="D8" s="260"/>
      <c r="E8" s="260"/>
      <c r="F8" s="260"/>
      <c r="G8" s="260"/>
      <c r="H8" s="260"/>
      <c r="I8" s="373" t="s">
        <v>226</v>
      </c>
      <c r="J8" s="260"/>
      <c r="K8" s="260"/>
      <c r="L8" s="260"/>
      <c r="M8" s="260"/>
      <c r="N8" s="286">
        <v>9386.7942793774564</v>
      </c>
    </row>
    <row r="9" spans="2:14" ht="15" customHeight="1">
      <c r="B9" s="302" t="s">
        <v>133</v>
      </c>
      <c r="C9" s="353">
        <v>19568.134245231824</v>
      </c>
      <c r="D9" s="86">
        <v>1</v>
      </c>
      <c r="E9" s="365" t="e">
        <f>SUMIFS([15]Ram!H4:H1002,[15]Ram!D4:D1002,230,[15]Ram!G4:G1002,"SD")</f>
        <v>#VALUE!</v>
      </c>
      <c r="F9" s="86">
        <v>1</v>
      </c>
      <c r="G9" s="366" t="e">
        <f>IF(C9&gt;0,C9/E9,0)</f>
        <v>#VALUE!</v>
      </c>
      <c r="H9" s="260" t="s">
        <v>134</v>
      </c>
      <c r="I9" s="260"/>
      <c r="J9" s="260"/>
      <c r="K9" s="260"/>
      <c r="L9" s="260"/>
      <c r="M9" s="260"/>
      <c r="N9" s="260"/>
    </row>
    <row r="10" spans="2:14" ht="15" customHeight="1">
      <c r="B10" s="260"/>
      <c r="C10" s="260"/>
      <c r="D10" s="260"/>
      <c r="E10" s="260"/>
      <c r="F10" s="260"/>
      <c r="G10" s="260"/>
      <c r="H10" s="260"/>
      <c r="I10" s="260"/>
      <c r="J10" s="260"/>
      <c r="K10" s="260"/>
      <c r="L10" s="260"/>
      <c r="M10" s="260"/>
      <c r="N10" s="260"/>
    </row>
    <row r="11" spans="2:14" ht="15" customHeight="1">
      <c r="B11" s="289" t="s">
        <v>264</v>
      </c>
      <c r="C11" s="260"/>
      <c r="D11" s="260"/>
      <c r="E11" s="260"/>
      <c r="F11" s="260"/>
      <c r="G11" s="260"/>
      <c r="H11" s="260"/>
      <c r="I11" s="260"/>
      <c r="J11" s="260"/>
      <c r="K11" s="260"/>
      <c r="L11" s="260"/>
      <c r="M11" s="260"/>
      <c r="N11" s="260"/>
    </row>
    <row r="12" spans="2:14" ht="15" customHeight="1">
      <c r="B12" s="290" t="s">
        <v>135</v>
      </c>
      <c r="C12" s="291" t="s">
        <v>16</v>
      </c>
      <c r="D12" s="292" t="s">
        <v>17</v>
      </c>
      <c r="E12" s="292" t="s">
        <v>18</v>
      </c>
      <c r="F12" s="292" t="s">
        <v>19</v>
      </c>
      <c r="G12" s="292" t="s">
        <v>20</v>
      </c>
      <c r="H12" s="292" t="s">
        <v>21</v>
      </c>
      <c r="I12" s="292" t="s">
        <v>22</v>
      </c>
      <c r="J12" s="292" t="s">
        <v>23</v>
      </c>
      <c r="K12" s="292" t="s">
        <v>24</v>
      </c>
      <c r="L12" s="293" t="s">
        <v>25</v>
      </c>
      <c r="M12" s="294" t="s">
        <v>15</v>
      </c>
      <c r="N12" s="260"/>
    </row>
    <row r="13" spans="2:14" ht="15" customHeight="1">
      <c r="B13" s="295" t="s">
        <v>136</v>
      </c>
      <c r="C13" s="367">
        <f>E19</f>
        <v>260.2</v>
      </c>
      <c r="D13" s="367">
        <f>E26</f>
        <v>537.77</v>
      </c>
      <c r="E13" s="367">
        <f>E33</f>
        <v>173.34399999999999</v>
      </c>
      <c r="F13" s="367">
        <f>E44</f>
        <v>435.47300000000001</v>
      </c>
      <c r="G13" s="367">
        <f>E74</f>
        <v>395.54999999999995</v>
      </c>
      <c r="H13" s="367">
        <f>E89</f>
        <v>105.8</v>
      </c>
      <c r="I13" s="367">
        <f>E94</f>
        <v>188.76</v>
      </c>
      <c r="J13" s="367">
        <f>E99</f>
        <v>260</v>
      </c>
      <c r="K13" s="367">
        <f>E102</f>
        <v>1462.4</v>
      </c>
      <c r="L13" s="367">
        <f>E112</f>
        <v>254.02999999999997</v>
      </c>
      <c r="M13" s="368">
        <f>SUM(C13:L13)</f>
        <v>4073.3270000000002</v>
      </c>
      <c r="N13" s="369">
        <f>SUM(E19:E115)-E19-E26-E33-E44-E74-E89-E94-E99-E102-E112</f>
        <v>4073.3270000000002</v>
      </c>
    </row>
    <row r="14" spans="2:14" ht="15" customHeight="1">
      <c r="B14" s="299" t="s">
        <v>137</v>
      </c>
      <c r="C14" s="370">
        <f>K19</f>
        <v>29.75</v>
      </c>
      <c r="D14" s="370">
        <f>K24</f>
        <v>0</v>
      </c>
      <c r="E14" s="370">
        <f>K26</f>
        <v>0.08</v>
      </c>
      <c r="F14" s="370">
        <f>K30</f>
        <v>93.85</v>
      </c>
      <c r="G14" s="370">
        <f>K36</f>
        <v>192.7</v>
      </c>
      <c r="H14" s="370">
        <f>K45</f>
        <v>127.96000000000001</v>
      </c>
      <c r="I14" s="370">
        <f>K51</f>
        <v>1133.8700000000006</v>
      </c>
      <c r="J14" s="370">
        <f>K65</f>
        <v>1.74</v>
      </c>
      <c r="K14" s="370">
        <f>K69</f>
        <v>183.947</v>
      </c>
      <c r="L14" s="370">
        <f>K76</f>
        <v>44.989999999999995</v>
      </c>
      <c r="M14" s="371">
        <f>SUM(C14:L14)</f>
        <v>1808.8870000000004</v>
      </c>
      <c r="N14" s="369">
        <f>SUM(K19:K80)-K19-K24-K26-K30-K36-K45-K51-K65-K69-K76</f>
        <v>1808.8869999999995</v>
      </c>
    </row>
    <row r="15" spans="2:14" ht="15" customHeight="1"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</row>
    <row r="16" spans="2:14" ht="15" customHeight="1"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  <c r="M16" s="260"/>
      <c r="N16" s="260"/>
    </row>
    <row r="17" spans="2:14" ht="15" customHeight="1">
      <c r="B17" s="289" t="s">
        <v>138</v>
      </c>
      <c r="C17" s="302"/>
      <c r="D17" s="302"/>
      <c r="E17" s="302"/>
      <c r="F17" s="302"/>
      <c r="G17" s="302"/>
      <c r="H17" s="303" t="s">
        <v>139</v>
      </c>
      <c r="I17" s="302"/>
      <c r="J17" s="302"/>
      <c r="K17" s="302"/>
      <c r="L17" s="302"/>
      <c r="M17" s="302"/>
      <c r="N17" s="260"/>
    </row>
    <row r="18" spans="2:14" ht="26">
      <c r="B18" s="304" t="s">
        <v>140</v>
      </c>
      <c r="C18" s="305"/>
      <c r="D18" s="306" t="s">
        <v>141</v>
      </c>
      <c r="E18" s="307" t="s">
        <v>136</v>
      </c>
      <c r="F18" s="307" t="s">
        <v>142</v>
      </c>
      <c r="G18" s="260"/>
      <c r="H18" s="308" t="s">
        <v>140</v>
      </c>
      <c r="I18" s="309"/>
      <c r="J18" s="310" t="s">
        <v>141</v>
      </c>
      <c r="K18" s="311" t="s">
        <v>137</v>
      </c>
      <c r="L18" s="260"/>
      <c r="M18" s="260"/>
      <c r="N18" s="260"/>
    </row>
    <row r="19" spans="2:14" ht="15" customHeight="1">
      <c r="B19" s="312">
        <v>1</v>
      </c>
      <c r="C19" s="313"/>
      <c r="D19" s="314"/>
      <c r="E19" s="315">
        <f>SUM(E20:E25)</f>
        <v>260.2</v>
      </c>
      <c r="F19" s="316"/>
      <c r="G19" s="260"/>
      <c r="H19" s="312">
        <v>1</v>
      </c>
      <c r="I19" s="313"/>
      <c r="J19" s="314"/>
      <c r="K19" s="315">
        <f>SUM(K20:K23)</f>
        <v>29.75</v>
      </c>
      <c r="L19" s="260"/>
      <c r="M19" s="260"/>
      <c r="N19" s="260"/>
    </row>
    <row r="20" spans="2:14" ht="15" customHeight="1">
      <c r="B20" s="317" t="s">
        <v>79</v>
      </c>
      <c r="C20" s="260"/>
      <c r="D20" s="318">
        <v>6014</v>
      </c>
      <c r="E20" s="319">
        <v>88.2</v>
      </c>
      <c r="F20" s="320">
        <v>0</v>
      </c>
      <c r="G20" s="260"/>
      <c r="H20" s="321" t="s">
        <v>87</v>
      </c>
      <c r="I20" s="260"/>
      <c r="J20" s="318"/>
      <c r="K20" s="319"/>
      <c r="L20" s="260"/>
      <c r="M20" s="260"/>
      <c r="N20" s="260"/>
    </row>
    <row r="21" spans="2:14" ht="15" customHeight="1">
      <c r="B21" s="317" t="s">
        <v>27</v>
      </c>
      <c r="C21" s="260"/>
      <c r="D21" s="318">
        <v>6014</v>
      </c>
      <c r="E21" s="319">
        <v>56</v>
      </c>
      <c r="F21" s="320">
        <v>0</v>
      </c>
      <c r="G21" s="260"/>
      <c r="H21" s="317" t="s">
        <v>143</v>
      </c>
      <c r="I21" s="260"/>
      <c r="J21" s="318">
        <v>6014</v>
      </c>
      <c r="K21" s="319">
        <v>28.85</v>
      </c>
      <c r="L21" s="260"/>
      <c r="M21" s="260"/>
      <c r="N21" s="260"/>
    </row>
    <row r="22" spans="2:14" ht="15" customHeight="1">
      <c r="B22" s="317" t="s">
        <v>144</v>
      </c>
      <c r="C22" s="260"/>
      <c r="D22" s="318">
        <v>6014</v>
      </c>
      <c r="E22" s="319">
        <v>10</v>
      </c>
      <c r="F22" s="320">
        <v>0</v>
      </c>
      <c r="G22" s="260"/>
      <c r="H22" s="317" t="s">
        <v>145</v>
      </c>
      <c r="I22" s="260"/>
      <c r="J22" s="318">
        <v>6014</v>
      </c>
      <c r="K22" s="319">
        <v>0.9</v>
      </c>
      <c r="L22" s="260"/>
      <c r="M22" s="260"/>
      <c r="N22" s="260"/>
    </row>
    <row r="23" spans="2:14" ht="15" customHeight="1">
      <c r="B23" s="317" t="s">
        <v>198</v>
      </c>
      <c r="C23" s="260"/>
      <c r="D23" s="318">
        <v>6014</v>
      </c>
      <c r="E23" s="319">
        <v>56</v>
      </c>
      <c r="F23" s="320">
        <v>0</v>
      </c>
      <c r="G23" s="260"/>
      <c r="H23" s="338" t="s">
        <v>146</v>
      </c>
      <c r="I23" s="325"/>
      <c r="J23" s="326"/>
      <c r="K23" s="327"/>
      <c r="L23" s="260"/>
      <c r="M23" s="260"/>
      <c r="N23" s="260"/>
    </row>
    <row r="24" spans="2:14" ht="15" customHeight="1">
      <c r="B24" s="317" t="s">
        <v>216</v>
      </c>
      <c r="C24" s="260"/>
      <c r="D24" s="318">
        <v>6014</v>
      </c>
      <c r="E24" s="319">
        <v>50</v>
      </c>
      <c r="F24" s="320">
        <v>0</v>
      </c>
      <c r="G24" s="260"/>
      <c r="H24" s="328">
        <v>2</v>
      </c>
      <c r="I24" s="329"/>
      <c r="J24" s="330"/>
      <c r="K24" s="331">
        <f>SUM(K25)</f>
        <v>0</v>
      </c>
      <c r="L24" s="260"/>
      <c r="M24" s="260"/>
      <c r="N24" s="260"/>
    </row>
    <row r="25" spans="2:14" ht="15" customHeight="1">
      <c r="B25" s="338" t="s">
        <v>146</v>
      </c>
      <c r="C25" s="325"/>
      <c r="D25" s="318"/>
      <c r="E25" s="319"/>
      <c r="F25" s="320"/>
      <c r="G25" s="260"/>
      <c r="H25" s="338" t="s">
        <v>146</v>
      </c>
      <c r="I25" s="325"/>
      <c r="J25" s="326"/>
      <c r="K25" s="327"/>
      <c r="L25" s="260"/>
      <c r="M25" s="260"/>
      <c r="N25" s="260"/>
    </row>
    <row r="26" spans="2:14" ht="15" customHeight="1">
      <c r="B26" s="328">
        <v>2</v>
      </c>
      <c r="C26" s="329"/>
      <c r="D26" s="330"/>
      <c r="E26" s="331">
        <f>SUM(E27:E32)</f>
        <v>537.77</v>
      </c>
      <c r="F26" s="332"/>
      <c r="G26" s="260"/>
      <c r="H26" s="312">
        <v>3</v>
      </c>
      <c r="I26" s="313"/>
      <c r="J26" s="314"/>
      <c r="K26" s="315">
        <f>SUM(K27:K29)</f>
        <v>0.08</v>
      </c>
      <c r="L26" s="260"/>
      <c r="M26" s="260"/>
      <c r="N26" s="260"/>
    </row>
    <row r="27" spans="2:14" ht="15" customHeight="1">
      <c r="B27" s="317" t="s">
        <v>28</v>
      </c>
      <c r="C27" s="260"/>
      <c r="D27" s="318">
        <v>6096</v>
      </c>
      <c r="E27" s="319">
        <v>300</v>
      </c>
      <c r="F27" s="320">
        <v>0</v>
      </c>
      <c r="G27" s="260"/>
      <c r="H27" s="321" t="s">
        <v>87</v>
      </c>
      <c r="I27" s="260"/>
      <c r="J27" s="318"/>
      <c r="K27" s="319"/>
      <c r="L27" s="260"/>
      <c r="M27" s="260"/>
      <c r="N27" s="260"/>
    </row>
    <row r="28" spans="2:14" ht="15" customHeight="1">
      <c r="B28" s="317" t="s">
        <v>29</v>
      </c>
      <c r="C28" s="260"/>
      <c r="D28" s="318">
        <v>6179</v>
      </c>
      <c r="E28" s="319">
        <v>120</v>
      </c>
      <c r="F28" s="320">
        <v>0</v>
      </c>
      <c r="G28" s="260"/>
      <c r="H28" s="317" t="s">
        <v>88</v>
      </c>
      <c r="I28" s="260"/>
      <c r="J28" s="318">
        <v>6087</v>
      </c>
      <c r="K28" s="319">
        <v>0.08</v>
      </c>
      <c r="L28" s="260"/>
      <c r="M28" s="260"/>
      <c r="N28" s="260"/>
    </row>
    <row r="29" spans="2:14" ht="15" customHeight="1">
      <c r="B29" s="317" t="s">
        <v>72</v>
      </c>
      <c r="C29" s="260"/>
      <c r="D29" s="318">
        <v>6179</v>
      </c>
      <c r="E29" s="319">
        <v>25.34</v>
      </c>
      <c r="F29" s="320">
        <v>0</v>
      </c>
      <c r="G29" s="260"/>
      <c r="H29" s="338" t="s">
        <v>146</v>
      </c>
      <c r="I29" s="325"/>
      <c r="J29" s="318"/>
      <c r="K29" s="319"/>
      <c r="L29" s="260"/>
      <c r="M29" s="260"/>
      <c r="N29" s="260"/>
    </row>
    <row r="30" spans="2:14" ht="15" customHeight="1">
      <c r="B30" s="317" t="s">
        <v>73</v>
      </c>
      <c r="C30" s="260"/>
      <c r="D30" s="318">
        <v>6179</v>
      </c>
      <c r="E30" s="319">
        <v>33.770000000000003</v>
      </c>
      <c r="F30" s="320">
        <v>0</v>
      </c>
      <c r="G30" s="260"/>
      <c r="H30" s="328">
        <v>4</v>
      </c>
      <c r="I30" s="329"/>
      <c r="J30" s="330"/>
      <c r="K30" s="331">
        <f>SUM(K31:K35)</f>
        <v>93.85</v>
      </c>
      <c r="L30" s="260"/>
      <c r="M30" s="260"/>
      <c r="N30" s="260"/>
    </row>
    <row r="31" spans="2:14" ht="15" customHeight="1">
      <c r="B31" s="317" t="s">
        <v>74</v>
      </c>
      <c r="C31" s="260"/>
      <c r="D31" s="318">
        <v>6179</v>
      </c>
      <c r="E31" s="319">
        <v>58.66</v>
      </c>
      <c r="F31" s="320">
        <v>0</v>
      </c>
      <c r="G31" s="260"/>
      <c r="H31" s="321" t="s">
        <v>87</v>
      </c>
      <c r="I31" s="260"/>
      <c r="J31" s="318"/>
      <c r="K31" s="319"/>
      <c r="L31" s="260"/>
      <c r="M31" s="260"/>
      <c r="N31" s="260"/>
    </row>
    <row r="32" spans="2:14" ht="15" customHeight="1">
      <c r="B32" s="338" t="s">
        <v>146</v>
      </c>
      <c r="C32" s="325"/>
      <c r="D32" s="326"/>
      <c r="E32" s="327"/>
      <c r="F32" s="336"/>
      <c r="G32" s="260"/>
      <c r="H32" s="317" t="s">
        <v>148</v>
      </c>
      <c r="I32" s="260"/>
      <c r="J32" s="318">
        <v>6013</v>
      </c>
      <c r="K32" s="319">
        <v>10.68</v>
      </c>
      <c r="L32" s="260"/>
      <c r="M32" s="260"/>
      <c r="N32" s="260"/>
    </row>
    <row r="33" spans="2:14" ht="15" customHeight="1">
      <c r="B33" s="312">
        <v>3</v>
      </c>
      <c r="C33" s="313"/>
      <c r="D33" s="314"/>
      <c r="E33" s="315">
        <f>SUM(E34:E43)</f>
        <v>173.34399999999999</v>
      </c>
      <c r="F33" s="316"/>
      <c r="G33" s="260"/>
      <c r="H33" s="317" t="s">
        <v>149</v>
      </c>
      <c r="I33" s="260"/>
      <c r="J33" s="318">
        <v>6013</v>
      </c>
      <c r="K33" s="319">
        <v>60.8</v>
      </c>
      <c r="L33" s="260"/>
      <c r="M33" s="260"/>
      <c r="N33" s="260"/>
    </row>
    <row r="34" spans="2:14" ht="15" customHeight="1">
      <c r="B34" s="317" t="s">
        <v>147</v>
      </c>
      <c r="C34" s="260"/>
      <c r="D34" s="318">
        <v>6088</v>
      </c>
      <c r="E34" s="319">
        <v>47.2</v>
      </c>
      <c r="F34" s="320">
        <v>0</v>
      </c>
      <c r="G34" s="260"/>
      <c r="H34" s="317" t="s">
        <v>199</v>
      </c>
      <c r="I34" s="260"/>
      <c r="J34" s="318">
        <v>6012</v>
      </c>
      <c r="K34" s="319">
        <v>22.37</v>
      </c>
      <c r="L34" s="260"/>
      <c r="M34" s="260"/>
      <c r="N34" s="260"/>
    </row>
    <row r="35" spans="2:14" ht="15" customHeight="1">
      <c r="B35" s="317" t="s">
        <v>30</v>
      </c>
      <c r="C35" s="260"/>
      <c r="D35" s="318">
        <v>6092</v>
      </c>
      <c r="E35" s="319">
        <v>54.76</v>
      </c>
      <c r="F35" s="320">
        <v>0</v>
      </c>
      <c r="G35" s="260"/>
      <c r="H35" s="338" t="s">
        <v>146</v>
      </c>
      <c r="I35" s="325"/>
      <c r="J35" s="326"/>
      <c r="K35" s="327"/>
      <c r="L35" s="260"/>
      <c r="M35" s="260"/>
      <c r="N35" s="260"/>
    </row>
    <row r="36" spans="2:14" ht="15" customHeight="1">
      <c r="B36" s="317" t="s">
        <v>76</v>
      </c>
      <c r="C36" s="260"/>
      <c r="D36" s="318">
        <v>6300</v>
      </c>
      <c r="E36" s="319">
        <v>19.75</v>
      </c>
      <c r="F36" s="320">
        <v>0</v>
      </c>
      <c r="G36" s="260"/>
      <c r="H36" s="312">
        <v>5</v>
      </c>
      <c r="I36" s="313"/>
      <c r="J36" s="314"/>
      <c r="K36" s="315">
        <f>SUM(K37:K44)</f>
        <v>192.7</v>
      </c>
      <c r="L36" s="260"/>
      <c r="M36" s="260"/>
      <c r="N36" s="260"/>
    </row>
    <row r="37" spans="2:14" ht="15" customHeight="1">
      <c r="B37" s="317" t="s">
        <v>75</v>
      </c>
      <c r="C37" s="260"/>
      <c r="D37" s="318">
        <v>6300</v>
      </c>
      <c r="E37" s="319">
        <v>15.5</v>
      </c>
      <c r="F37" s="320">
        <v>0</v>
      </c>
      <c r="G37" s="260"/>
      <c r="H37" s="321" t="s">
        <v>151</v>
      </c>
      <c r="I37" s="260"/>
      <c r="J37" s="318"/>
      <c r="K37" s="319"/>
      <c r="L37" s="260"/>
      <c r="M37" s="260"/>
      <c r="N37" s="260"/>
    </row>
    <row r="38" spans="2:14" ht="15" customHeight="1">
      <c r="B38" s="317" t="s">
        <v>150</v>
      </c>
      <c r="C38" s="260"/>
      <c r="D38" s="318">
        <v>6300</v>
      </c>
      <c r="E38" s="319">
        <v>8</v>
      </c>
      <c r="F38" s="320">
        <v>0</v>
      </c>
      <c r="G38" s="260"/>
      <c r="H38" s="317" t="s">
        <v>153</v>
      </c>
      <c r="I38" s="260"/>
      <c r="J38" s="318" t="s">
        <v>200</v>
      </c>
      <c r="K38" s="319">
        <v>190.75</v>
      </c>
      <c r="L38" s="260"/>
      <c r="M38" s="260"/>
      <c r="N38" s="260"/>
    </row>
    <row r="39" spans="2:14" ht="15" customHeight="1">
      <c r="B39" s="317" t="s">
        <v>152</v>
      </c>
      <c r="C39" s="260"/>
      <c r="D39" s="318">
        <v>6300</v>
      </c>
      <c r="E39" s="319">
        <v>9.86</v>
      </c>
      <c r="F39" s="320">
        <v>0</v>
      </c>
      <c r="G39" s="260"/>
      <c r="H39" s="321" t="s">
        <v>154</v>
      </c>
      <c r="I39" s="260"/>
      <c r="J39" s="318"/>
      <c r="K39" s="319"/>
      <c r="L39" s="260"/>
      <c r="M39" s="260"/>
      <c r="N39" s="260"/>
    </row>
    <row r="40" spans="2:14" ht="15" customHeight="1">
      <c r="B40" s="317" t="s">
        <v>201</v>
      </c>
      <c r="C40" s="260"/>
      <c r="D40" s="318">
        <v>6300</v>
      </c>
      <c r="E40" s="319">
        <v>10</v>
      </c>
      <c r="F40" s="320">
        <v>0</v>
      </c>
      <c r="G40" s="260"/>
      <c r="H40" s="317" t="s">
        <v>155</v>
      </c>
      <c r="I40" s="260"/>
      <c r="J40" s="318">
        <v>6009</v>
      </c>
      <c r="K40" s="319">
        <v>1.1299999999999999</v>
      </c>
      <c r="L40" s="260"/>
      <c r="M40" s="260"/>
      <c r="N40" s="260"/>
    </row>
    <row r="41" spans="2:14" ht="15" customHeight="1">
      <c r="B41" s="317" t="s">
        <v>202</v>
      </c>
      <c r="C41" s="260"/>
      <c r="D41" s="318">
        <v>6300</v>
      </c>
      <c r="E41" s="319">
        <v>4.0999999999999996</v>
      </c>
      <c r="F41" s="320">
        <v>0</v>
      </c>
      <c r="G41" s="260"/>
      <c r="H41" s="317" t="s">
        <v>156</v>
      </c>
      <c r="I41" s="260"/>
      <c r="J41" s="318">
        <v>6009</v>
      </c>
      <c r="K41" s="319">
        <v>0.82</v>
      </c>
      <c r="L41" s="260"/>
      <c r="M41" s="260"/>
      <c r="N41" s="260"/>
    </row>
    <row r="42" spans="2:14" ht="15" customHeight="1">
      <c r="B42" s="317" t="s">
        <v>228</v>
      </c>
      <c r="C42" s="260"/>
      <c r="D42" s="318">
        <v>6300</v>
      </c>
      <c r="E42" s="319">
        <v>4.1740000000000004</v>
      </c>
      <c r="F42" s="320">
        <v>7</v>
      </c>
      <c r="G42" s="260"/>
      <c r="H42" s="321" t="s">
        <v>203</v>
      </c>
      <c r="I42" s="260"/>
      <c r="J42" s="318"/>
      <c r="K42" s="319"/>
      <c r="L42" s="260"/>
      <c r="M42" s="260"/>
      <c r="N42" s="260"/>
    </row>
    <row r="43" spans="2:14" ht="15" customHeight="1">
      <c r="B43" s="338" t="s">
        <v>146</v>
      </c>
      <c r="C43" s="325"/>
      <c r="D43" s="318"/>
      <c r="E43" s="319"/>
      <c r="F43" s="320"/>
      <c r="G43" s="260"/>
      <c r="H43" s="317" t="s">
        <v>204</v>
      </c>
      <c r="I43" s="260"/>
      <c r="J43" s="318">
        <v>6008</v>
      </c>
      <c r="K43" s="319">
        <v>0</v>
      </c>
      <c r="L43" s="260"/>
      <c r="M43" s="260"/>
      <c r="N43" s="260"/>
    </row>
    <row r="44" spans="2:14" ht="15" customHeight="1">
      <c r="B44" s="328">
        <v>4</v>
      </c>
      <c r="C44" s="329"/>
      <c r="D44" s="330"/>
      <c r="E44" s="331">
        <f>SUM(E45:E73)</f>
        <v>435.47300000000001</v>
      </c>
      <c r="F44" s="332"/>
      <c r="G44" s="260"/>
      <c r="H44" s="338" t="s">
        <v>146</v>
      </c>
      <c r="I44" s="325"/>
      <c r="J44" s="318"/>
      <c r="K44" s="319"/>
      <c r="L44" s="260"/>
      <c r="M44" s="260"/>
      <c r="N44" s="260"/>
    </row>
    <row r="45" spans="2:14" ht="15" customHeight="1">
      <c r="B45" s="317" t="s">
        <v>78</v>
      </c>
      <c r="C45" s="260"/>
      <c r="D45" s="318">
        <v>6381</v>
      </c>
      <c r="E45" s="319">
        <v>10</v>
      </c>
      <c r="F45" s="320">
        <v>0</v>
      </c>
      <c r="G45" s="260"/>
      <c r="H45" s="328">
        <v>6</v>
      </c>
      <c r="I45" s="329"/>
      <c r="J45" s="330"/>
      <c r="K45" s="331">
        <f>SUM(K46:K50)</f>
        <v>127.96000000000001</v>
      </c>
      <c r="L45" s="260"/>
      <c r="M45" s="260"/>
      <c r="N45" s="260"/>
    </row>
    <row r="46" spans="2:14" ht="15" customHeight="1">
      <c r="B46" s="317" t="s">
        <v>157</v>
      </c>
      <c r="C46" s="260"/>
      <c r="D46" s="318">
        <v>6381</v>
      </c>
      <c r="E46" s="319">
        <v>3.5</v>
      </c>
      <c r="F46" s="320">
        <v>0</v>
      </c>
      <c r="G46" s="260"/>
      <c r="H46" s="321" t="s">
        <v>151</v>
      </c>
      <c r="I46" s="260"/>
      <c r="J46" s="318"/>
      <c r="K46" s="319"/>
      <c r="L46" s="260"/>
      <c r="M46" s="260"/>
      <c r="N46" s="260"/>
    </row>
    <row r="47" spans="2:14" ht="15" customHeight="1">
      <c r="B47" s="317" t="s">
        <v>84</v>
      </c>
      <c r="C47" s="260"/>
      <c r="D47" s="318">
        <v>6013</v>
      </c>
      <c r="E47" s="319">
        <v>6.12</v>
      </c>
      <c r="F47" s="320">
        <v>0</v>
      </c>
      <c r="G47" s="260"/>
      <c r="H47" s="317" t="s">
        <v>159</v>
      </c>
      <c r="I47" s="260"/>
      <c r="J47" s="318">
        <v>6005</v>
      </c>
      <c r="K47" s="319">
        <v>126.73</v>
      </c>
      <c r="L47" s="260"/>
      <c r="M47" s="260"/>
      <c r="N47" s="260"/>
    </row>
    <row r="48" spans="2:14" ht="15" customHeight="1">
      <c r="B48" s="317" t="s">
        <v>158</v>
      </c>
      <c r="C48" s="260"/>
      <c r="D48" s="318">
        <v>6013</v>
      </c>
      <c r="E48" s="319">
        <v>4.95</v>
      </c>
      <c r="F48" s="320">
        <v>0</v>
      </c>
      <c r="G48" s="260"/>
      <c r="H48" s="321" t="s">
        <v>154</v>
      </c>
      <c r="I48" s="260"/>
      <c r="J48" s="318"/>
      <c r="K48" s="319"/>
      <c r="L48" s="260"/>
      <c r="M48" s="260"/>
      <c r="N48" s="260"/>
    </row>
    <row r="49" spans="2:14" ht="15" customHeight="1">
      <c r="B49" s="317" t="s">
        <v>77</v>
      </c>
      <c r="C49" s="260"/>
      <c r="D49" s="318">
        <v>6381</v>
      </c>
      <c r="E49" s="319">
        <v>20</v>
      </c>
      <c r="F49" s="320">
        <v>0</v>
      </c>
      <c r="G49" s="260"/>
      <c r="H49" s="317" t="s">
        <v>155</v>
      </c>
      <c r="I49" s="260"/>
      <c r="J49" s="318">
        <v>6005</v>
      </c>
      <c r="K49" s="319">
        <v>1.23</v>
      </c>
      <c r="L49" s="260"/>
      <c r="M49" s="260"/>
      <c r="N49" s="260"/>
    </row>
    <row r="50" spans="2:14" ht="15" customHeight="1">
      <c r="B50" s="317" t="s">
        <v>160</v>
      </c>
      <c r="C50" s="260"/>
      <c r="D50" s="318">
        <v>6381</v>
      </c>
      <c r="E50" s="319">
        <v>12.89</v>
      </c>
      <c r="F50" s="320">
        <v>0</v>
      </c>
      <c r="G50" s="260"/>
      <c r="H50" s="338" t="s">
        <v>146</v>
      </c>
      <c r="I50" s="325"/>
      <c r="J50" s="326"/>
      <c r="K50" s="327"/>
      <c r="L50" s="260"/>
      <c r="M50" s="260"/>
      <c r="N50" s="260"/>
    </row>
    <row r="51" spans="2:14" ht="15" customHeight="1">
      <c r="B51" s="317" t="s">
        <v>161</v>
      </c>
      <c r="C51" s="260"/>
      <c r="D51" s="318">
        <v>6386</v>
      </c>
      <c r="E51" s="319">
        <v>14</v>
      </c>
      <c r="F51" s="320">
        <v>0</v>
      </c>
      <c r="G51" s="260"/>
      <c r="H51" s="312">
        <v>7</v>
      </c>
      <c r="I51" s="313"/>
      <c r="J51" s="314"/>
      <c r="K51" s="315">
        <f>SUM(K52:K64)</f>
        <v>1133.8700000000006</v>
      </c>
      <c r="L51" s="260"/>
      <c r="M51" s="260"/>
      <c r="N51" s="260"/>
    </row>
    <row r="52" spans="2:14" ht="15" customHeight="1">
      <c r="B52" s="317" t="s">
        <v>0</v>
      </c>
      <c r="C52" s="260"/>
      <c r="D52" s="337" t="s">
        <v>162</v>
      </c>
      <c r="E52" s="319">
        <v>2.5</v>
      </c>
      <c r="F52" s="320">
        <v>0</v>
      </c>
      <c r="G52" s="260"/>
      <c r="H52" s="321" t="s">
        <v>164</v>
      </c>
      <c r="I52" s="260"/>
      <c r="J52" s="318"/>
      <c r="K52" s="319"/>
      <c r="L52" s="260"/>
      <c r="M52" s="260"/>
      <c r="N52" s="260"/>
    </row>
    <row r="53" spans="2:14" ht="15" customHeight="1">
      <c r="B53" s="317" t="s">
        <v>1</v>
      </c>
      <c r="C53" s="260"/>
      <c r="D53" s="337" t="s">
        <v>162</v>
      </c>
      <c r="E53" s="319">
        <v>3.12</v>
      </c>
      <c r="F53" s="320">
        <v>0</v>
      </c>
      <c r="G53" s="260"/>
      <c r="H53" s="317" t="s">
        <v>166</v>
      </c>
      <c r="I53" s="260"/>
      <c r="J53" s="318" t="s">
        <v>167</v>
      </c>
      <c r="K53" s="319">
        <v>581.08000000000004</v>
      </c>
      <c r="L53" s="260"/>
      <c r="M53" s="260"/>
      <c r="N53" s="260"/>
    </row>
    <row r="54" spans="2:14" ht="15" customHeight="1">
      <c r="B54" s="317" t="s">
        <v>163</v>
      </c>
      <c r="C54" s="260"/>
      <c r="D54" s="318">
        <v>6381</v>
      </c>
      <c r="E54" s="319">
        <v>10</v>
      </c>
      <c r="F54" s="320">
        <v>0</v>
      </c>
      <c r="G54" s="260"/>
      <c r="H54" s="321" t="s">
        <v>151</v>
      </c>
      <c r="I54" s="260"/>
      <c r="J54" s="318"/>
      <c r="K54" s="319"/>
      <c r="L54" s="260"/>
      <c r="M54" s="260"/>
      <c r="N54" s="260"/>
    </row>
    <row r="55" spans="2:14" ht="15" customHeight="1">
      <c r="B55" s="317" t="s">
        <v>165</v>
      </c>
      <c r="C55" s="260"/>
      <c r="D55" s="318">
        <v>6381</v>
      </c>
      <c r="E55" s="319">
        <v>10</v>
      </c>
      <c r="F55" s="320">
        <v>0</v>
      </c>
      <c r="G55" s="260"/>
      <c r="H55" s="317" t="s">
        <v>166</v>
      </c>
      <c r="I55" s="260"/>
      <c r="J55" s="318" t="s">
        <v>205</v>
      </c>
      <c r="K55" s="319">
        <v>514.35</v>
      </c>
      <c r="L55" s="260"/>
      <c r="M55" s="260"/>
      <c r="N55" s="260"/>
    </row>
    <row r="56" spans="2:14" ht="15" customHeight="1">
      <c r="B56" s="317" t="s">
        <v>168</v>
      </c>
      <c r="C56" s="260"/>
      <c r="D56" s="318">
        <v>6013</v>
      </c>
      <c r="E56" s="319">
        <v>8.4</v>
      </c>
      <c r="F56" s="320">
        <v>0</v>
      </c>
      <c r="G56" s="260"/>
      <c r="H56" s="321" t="s">
        <v>154</v>
      </c>
      <c r="I56" s="260"/>
      <c r="J56" s="318"/>
      <c r="K56" s="319"/>
      <c r="L56" s="260"/>
      <c r="M56" s="260"/>
      <c r="N56" s="260"/>
    </row>
    <row r="57" spans="2:14" ht="15" customHeight="1">
      <c r="B57" s="317" t="s">
        <v>80</v>
      </c>
      <c r="C57" s="260"/>
      <c r="D57" s="318">
        <v>6690</v>
      </c>
      <c r="E57" s="319">
        <v>33.299999999999997</v>
      </c>
      <c r="F57" s="320">
        <v>0</v>
      </c>
      <c r="G57" s="260"/>
      <c r="H57" s="317" t="s">
        <v>169</v>
      </c>
      <c r="I57" s="260"/>
      <c r="J57" s="318">
        <v>6002</v>
      </c>
      <c r="K57" s="319">
        <v>2.9</v>
      </c>
      <c r="L57" s="260"/>
      <c r="M57" s="260"/>
      <c r="N57" s="260"/>
    </row>
    <row r="58" spans="2:14" ht="15" customHeight="1">
      <c r="B58" s="317" t="s">
        <v>81</v>
      </c>
      <c r="C58" s="260"/>
      <c r="D58" s="318">
        <v>6690</v>
      </c>
      <c r="E58" s="319">
        <v>49.95</v>
      </c>
      <c r="F58" s="320">
        <v>0</v>
      </c>
      <c r="G58" s="260"/>
      <c r="H58" s="317" t="s">
        <v>170</v>
      </c>
      <c r="I58" s="260"/>
      <c r="J58" s="318">
        <v>6024</v>
      </c>
      <c r="K58" s="319">
        <v>24.65</v>
      </c>
      <c r="L58" s="260"/>
      <c r="M58" s="260"/>
      <c r="N58" s="260"/>
    </row>
    <row r="59" spans="2:14" ht="15" customHeight="1">
      <c r="B59" s="317" t="s">
        <v>82</v>
      </c>
      <c r="C59" s="260"/>
      <c r="D59" s="318">
        <v>6690</v>
      </c>
      <c r="E59" s="319">
        <v>69.48</v>
      </c>
      <c r="F59" s="320">
        <v>0</v>
      </c>
      <c r="G59" s="260"/>
      <c r="H59" s="317" t="s">
        <v>89</v>
      </c>
      <c r="I59" s="260"/>
      <c r="J59" s="318">
        <v>6002</v>
      </c>
      <c r="K59" s="319">
        <v>0.64</v>
      </c>
      <c r="L59" s="260"/>
      <c r="M59" s="260"/>
      <c r="N59" s="260"/>
    </row>
    <row r="60" spans="2:14" ht="15" customHeight="1">
      <c r="B60" s="317" t="s">
        <v>206</v>
      </c>
      <c r="C60" s="260"/>
      <c r="D60" s="318">
        <v>6386</v>
      </c>
      <c r="E60" s="319">
        <v>4.0999999999999996</v>
      </c>
      <c r="F60" s="320">
        <v>0</v>
      </c>
      <c r="G60" s="260"/>
      <c r="H60" s="317" t="s">
        <v>173</v>
      </c>
      <c r="I60" s="260"/>
      <c r="J60" s="318">
        <v>6002</v>
      </c>
      <c r="K60" s="319">
        <v>0.93</v>
      </c>
      <c r="L60" s="260"/>
      <c r="M60" s="260"/>
      <c r="N60" s="260"/>
    </row>
    <row r="61" spans="2:14" ht="15" customHeight="1">
      <c r="B61" s="317" t="s">
        <v>83</v>
      </c>
      <c r="C61" s="260"/>
      <c r="D61" s="318">
        <v>6860</v>
      </c>
      <c r="E61" s="319">
        <v>28.56</v>
      </c>
      <c r="F61" s="320">
        <v>0</v>
      </c>
      <c r="G61" s="260"/>
      <c r="H61" s="317" t="s">
        <v>174</v>
      </c>
      <c r="I61" s="260"/>
      <c r="J61" s="318">
        <v>6018</v>
      </c>
      <c r="K61" s="319">
        <v>1.22</v>
      </c>
      <c r="L61" s="260"/>
      <c r="M61" s="260"/>
      <c r="N61" s="260"/>
    </row>
    <row r="62" spans="2:14" ht="15" customHeight="1">
      <c r="B62" s="317" t="s">
        <v>207</v>
      </c>
      <c r="C62" s="260"/>
      <c r="D62" s="318">
        <v>6013</v>
      </c>
      <c r="E62" s="319">
        <v>8.58</v>
      </c>
      <c r="F62" s="320">
        <v>0</v>
      </c>
      <c r="G62" s="260"/>
      <c r="H62" s="317" t="s">
        <v>155</v>
      </c>
      <c r="I62" s="260"/>
      <c r="J62" s="318">
        <v>6002</v>
      </c>
      <c r="K62" s="319">
        <v>7.16</v>
      </c>
      <c r="L62" s="260"/>
      <c r="M62" s="260"/>
      <c r="N62" s="260"/>
    </row>
    <row r="63" spans="2:14" ht="15" customHeight="1">
      <c r="B63" s="317" t="s">
        <v>208</v>
      </c>
      <c r="C63" s="260"/>
      <c r="D63" s="318">
        <v>6760</v>
      </c>
      <c r="E63" s="319">
        <v>26</v>
      </c>
      <c r="F63" s="320">
        <v>0</v>
      </c>
      <c r="G63" s="260"/>
      <c r="H63" s="317" t="s">
        <v>176</v>
      </c>
      <c r="I63" s="260"/>
      <c r="J63" s="318">
        <v>6002</v>
      </c>
      <c r="K63" s="319">
        <v>0.94</v>
      </c>
      <c r="L63" s="260"/>
      <c r="M63" s="260"/>
      <c r="N63" s="260"/>
    </row>
    <row r="64" spans="2:14" ht="15" customHeight="1">
      <c r="B64" s="317" t="s">
        <v>209</v>
      </c>
      <c r="C64" s="260"/>
      <c r="D64" s="318">
        <v>6760</v>
      </c>
      <c r="E64" s="319">
        <v>6</v>
      </c>
      <c r="F64" s="320">
        <v>0</v>
      </c>
      <c r="G64" s="260"/>
      <c r="H64" s="338" t="s">
        <v>146</v>
      </c>
      <c r="I64" s="325"/>
      <c r="J64" s="326"/>
      <c r="K64" s="327"/>
      <c r="L64" s="260"/>
      <c r="M64" s="260"/>
      <c r="N64" s="260"/>
    </row>
    <row r="65" spans="2:14" ht="15" customHeight="1">
      <c r="B65" s="317" t="s">
        <v>210</v>
      </c>
      <c r="C65" s="260"/>
      <c r="D65" s="318">
        <v>6760</v>
      </c>
      <c r="E65" s="319">
        <v>12.3</v>
      </c>
      <c r="F65" s="320">
        <v>0</v>
      </c>
      <c r="G65" s="260"/>
      <c r="H65" s="328">
        <v>8</v>
      </c>
      <c r="I65" s="329"/>
      <c r="J65" s="330"/>
      <c r="K65" s="331">
        <f>SUM(K66:K68)</f>
        <v>1.74</v>
      </c>
      <c r="L65" s="260"/>
      <c r="M65" s="260"/>
      <c r="N65" s="260"/>
    </row>
    <row r="66" spans="2:14" ht="15" customHeight="1">
      <c r="B66" s="317" t="s">
        <v>211</v>
      </c>
      <c r="C66" s="260"/>
      <c r="D66" s="318">
        <v>6386</v>
      </c>
      <c r="E66" s="319">
        <v>4.6429999999999998</v>
      </c>
      <c r="F66" s="320">
        <v>0</v>
      </c>
      <c r="G66" s="260"/>
      <c r="H66" s="321" t="s">
        <v>164</v>
      </c>
      <c r="I66" s="260"/>
      <c r="J66" s="318"/>
      <c r="K66" s="319"/>
      <c r="L66" s="260"/>
      <c r="M66" s="260"/>
      <c r="N66" s="260"/>
    </row>
    <row r="67" spans="2:14" ht="15" customHeight="1">
      <c r="B67" s="317" t="s">
        <v>217</v>
      </c>
      <c r="C67" s="260"/>
      <c r="D67" s="318">
        <v>6386</v>
      </c>
      <c r="E67" s="319">
        <v>5</v>
      </c>
      <c r="F67" s="320">
        <v>0</v>
      </c>
      <c r="G67" s="260"/>
      <c r="H67" s="317" t="s">
        <v>181</v>
      </c>
      <c r="I67" s="260"/>
      <c r="J67" s="318">
        <v>6100</v>
      </c>
      <c r="K67" s="319">
        <v>1.74</v>
      </c>
      <c r="L67" s="260"/>
      <c r="M67" s="260"/>
      <c r="N67" s="260"/>
    </row>
    <row r="68" spans="2:14" ht="15" customHeight="1">
      <c r="B68" s="317" t="s">
        <v>218</v>
      </c>
      <c r="C68" s="260"/>
      <c r="D68" s="318">
        <v>6760</v>
      </c>
      <c r="E68" s="319">
        <v>14.4</v>
      </c>
      <c r="F68" s="320">
        <v>0</v>
      </c>
      <c r="G68" s="260"/>
      <c r="H68" s="338" t="s">
        <v>146</v>
      </c>
      <c r="I68" s="325"/>
      <c r="J68" s="326"/>
      <c r="K68" s="327"/>
      <c r="L68" s="260"/>
      <c r="M68" s="260"/>
      <c r="N68" s="260"/>
    </row>
    <row r="69" spans="2:14" ht="15" customHeight="1">
      <c r="B69" s="317" t="s">
        <v>219</v>
      </c>
      <c r="C69" s="260"/>
      <c r="D69" s="318">
        <v>6760</v>
      </c>
      <c r="E69" s="319">
        <v>15.08</v>
      </c>
      <c r="F69" s="320">
        <v>0</v>
      </c>
      <c r="G69" s="260"/>
      <c r="H69" s="312">
        <v>9</v>
      </c>
      <c r="I69" s="313"/>
      <c r="J69" s="314"/>
      <c r="K69" s="315">
        <f>SUM(K70:K75)</f>
        <v>183.947</v>
      </c>
      <c r="L69" s="260"/>
      <c r="M69" s="260"/>
      <c r="N69" s="260"/>
    </row>
    <row r="70" spans="2:14" ht="15" customHeight="1">
      <c r="B70" s="317" t="s">
        <v>220</v>
      </c>
      <c r="C70" s="260"/>
      <c r="D70" s="318">
        <v>6760</v>
      </c>
      <c r="E70" s="319">
        <v>9.3000000000000007</v>
      </c>
      <c r="F70" s="320">
        <v>0</v>
      </c>
      <c r="G70" s="260"/>
      <c r="H70" s="321" t="s">
        <v>164</v>
      </c>
      <c r="I70" s="260"/>
      <c r="J70" s="318"/>
      <c r="K70" s="319"/>
      <c r="L70" s="260"/>
      <c r="M70" s="260"/>
      <c r="N70" s="260"/>
    </row>
    <row r="71" spans="2:14" ht="15" customHeight="1">
      <c r="B71" s="317" t="s">
        <v>221</v>
      </c>
      <c r="C71" s="260"/>
      <c r="D71" s="318">
        <v>6386</v>
      </c>
      <c r="E71" s="319">
        <v>8.8000000000000007</v>
      </c>
      <c r="F71" s="320">
        <v>0</v>
      </c>
      <c r="G71" s="260"/>
      <c r="H71" s="317" t="s">
        <v>26</v>
      </c>
      <c r="I71" s="260"/>
      <c r="J71" s="318">
        <v>6059</v>
      </c>
      <c r="K71" s="319">
        <v>174.46</v>
      </c>
      <c r="L71" s="260"/>
      <c r="M71" s="260"/>
      <c r="N71" s="260"/>
    </row>
    <row r="72" spans="2:14" ht="15" customHeight="1">
      <c r="B72" s="317" t="s">
        <v>222</v>
      </c>
      <c r="C72" s="260"/>
      <c r="D72" s="318">
        <v>6182</v>
      </c>
      <c r="E72" s="319">
        <v>34.5</v>
      </c>
      <c r="F72" s="320">
        <v>0</v>
      </c>
      <c r="G72" s="260"/>
      <c r="H72" s="321" t="s">
        <v>154</v>
      </c>
      <c r="I72" s="260"/>
      <c r="J72" s="318"/>
      <c r="K72" s="319"/>
      <c r="L72" s="260"/>
      <c r="M72" s="260"/>
      <c r="N72" s="260"/>
    </row>
    <row r="73" spans="2:14" ht="15" customHeight="1">
      <c r="B73" s="338" t="s">
        <v>146</v>
      </c>
      <c r="C73" s="325"/>
      <c r="D73" s="326"/>
      <c r="E73" s="327"/>
      <c r="F73" s="336"/>
      <c r="G73" s="260"/>
      <c r="H73" s="317" t="s">
        <v>184</v>
      </c>
      <c r="I73" s="260"/>
      <c r="J73" s="318">
        <v>6170</v>
      </c>
      <c r="K73" s="319">
        <v>8.5</v>
      </c>
      <c r="L73" s="260"/>
      <c r="M73" s="260"/>
      <c r="N73" s="260"/>
    </row>
    <row r="74" spans="2:14" ht="15" customHeight="1">
      <c r="B74" s="312">
        <v>5</v>
      </c>
      <c r="C74" s="313"/>
      <c r="D74" s="314"/>
      <c r="E74" s="315">
        <f>SUM(E75:E88)</f>
        <v>395.54999999999995</v>
      </c>
      <c r="F74" s="316"/>
      <c r="G74" s="260"/>
      <c r="H74" s="317" t="s">
        <v>155</v>
      </c>
      <c r="I74" s="260"/>
      <c r="J74" s="318">
        <v>6059</v>
      </c>
      <c r="K74" s="319">
        <v>0.98699999999999999</v>
      </c>
      <c r="L74" s="260"/>
      <c r="M74" s="260"/>
      <c r="N74" s="260"/>
    </row>
    <row r="75" spans="2:14" ht="15" customHeight="1">
      <c r="B75" s="317" t="s">
        <v>171</v>
      </c>
      <c r="C75" s="260"/>
      <c r="D75" s="318">
        <v>6010</v>
      </c>
      <c r="E75" s="319">
        <v>5.35</v>
      </c>
      <c r="F75" s="320">
        <v>0</v>
      </c>
      <c r="G75" s="260"/>
      <c r="H75" s="338" t="s">
        <v>146</v>
      </c>
      <c r="I75" s="325"/>
      <c r="J75" s="326"/>
      <c r="K75" s="327"/>
      <c r="L75" s="260"/>
      <c r="M75" s="260"/>
      <c r="N75" s="260"/>
    </row>
    <row r="76" spans="2:14" ht="15" customHeight="1">
      <c r="B76" s="317" t="s">
        <v>172</v>
      </c>
      <c r="C76" s="260"/>
      <c r="D76" s="318">
        <v>6010</v>
      </c>
      <c r="E76" s="319">
        <v>5.05</v>
      </c>
      <c r="F76" s="320">
        <v>0</v>
      </c>
      <c r="G76" s="260"/>
      <c r="H76" s="328">
        <v>10</v>
      </c>
      <c r="I76" s="329"/>
      <c r="J76" s="330"/>
      <c r="K76" s="331">
        <f>SUM(K77:K80)</f>
        <v>44.989999999999995</v>
      </c>
      <c r="L76" s="260"/>
      <c r="M76" s="260"/>
      <c r="N76" s="260"/>
    </row>
    <row r="77" spans="2:14" ht="15" customHeight="1">
      <c r="B77" s="317" t="s">
        <v>5</v>
      </c>
      <c r="C77" s="260"/>
      <c r="D77" s="337" t="s">
        <v>162</v>
      </c>
      <c r="E77" s="319">
        <v>6.6</v>
      </c>
      <c r="F77" s="320">
        <v>0</v>
      </c>
      <c r="G77" s="260"/>
      <c r="H77" s="321" t="s">
        <v>186</v>
      </c>
      <c r="I77" s="260"/>
      <c r="J77" s="318"/>
      <c r="K77" s="319"/>
      <c r="L77" s="260"/>
      <c r="M77" s="260"/>
      <c r="N77" s="260"/>
    </row>
    <row r="78" spans="2:14" ht="15" customHeight="1">
      <c r="B78" s="317" t="s">
        <v>31</v>
      </c>
      <c r="C78" s="260"/>
      <c r="D78" s="337" t="s">
        <v>162</v>
      </c>
      <c r="E78" s="319">
        <v>4.5</v>
      </c>
      <c r="F78" s="320">
        <v>0</v>
      </c>
      <c r="G78" s="260"/>
      <c r="H78" s="317" t="s">
        <v>189</v>
      </c>
      <c r="I78" s="260"/>
      <c r="J78" s="318">
        <v>6340</v>
      </c>
      <c r="K78" s="319">
        <v>30.65</v>
      </c>
      <c r="L78" s="260"/>
      <c r="M78" s="260"/>
      <c r="N78" s="260"/>
    </row>
    <row r="79" spans="2:14" ht="15" customHeight="1">
      <c r="B79" s="317" t="s">
        <v>175</v>
      </c>
      <c r="C79" s="260"/>
      <c r="D79" s="337" t="s">
        <v>162</v>
      </c>
      <c r="E79" s="319">
        <v>2.4</v>
      </c>
      <c r="F79" s="320">
        <v>0</v>
      </c>
      <c r="G79" s="260"/>
      <c r="H79" s="317" t="s">
        <v>191</v>
      </c>
      <c r="I79" s="260"/>
      <c r="J79" s="318">
        <v>6261</v>
      </c>
      <c r="K79" s="319">
        <v>14.34</v>
      </c>
      <c r="L79" s="260"/>
      <c r="M79" s="260"/>
      <c r="N79" s="260"/>
    </row>
    <row r="80" spans="2:14" ht="15" customHeight="1">
      <c r="B80" s="317" t="s">
        <v>177</v>
      </c>
      <c r="C80" s="260"/>
      <c r="D80" s="318">
        <v>6430</v>
      </c>
      <c r="E80" s="319">
        <v>100</v>
      </c>
      <c r="F80" s="320">
        <v>0</v>
      </c>
      <c r="G80" s="260"/>
      <c r="H80" s="338" t="s">
        <v>146</v>
      </c>
      <c r="I80" s="325"/>
      <c r="J80" s="326"/>
      <c r="K80" s="327"/>
      <c r="L80" s="260"/>
      <c r="M80" s="260"/>
      <c r="N80" s="260"/>
    </row>
    <row r="81" spans="2:14" ht="15" customHeight="1">
      <c r="B81" s="317" t="s">
        <v>178</v>
      </c>
      <c r="C81" s="260"/>
      <c r="D81" s="318">
        <v>6430</v>
      </c>
      <c r="E81" s="319">
        <v>17.5</v>
      </c>
      <c r="F81" s="320">
        <v>0</v>
      </c>
      <c r="G81" s="260"/>
      <c r="H81" s="260"/>
      <c r="I81" s="260"/>
      <c r="J81" s="260"/>
      <c r="K81" s="260"/>
      <c r="L81" s="260"/>
      <c r="M81" s="260"/>
      <c r="N81" s="260"/>
    </row>
    <row r="82" spans="2:14" ht="15" customHeight="1">
      <c r="B82" s="317" t="s">
        <v>179</v>
      </c>
      <c r="C82" s="260"/>
      <c r="D82" s="318">
        <v>6430</v>
      </c>
      <c r="E82" s="319">
        <v>62.5</v>
      </c>
      <c r="F82" s="320">
        <v>0</v>
      </c>
      <c r="G82" s="260"/>
      <c r="H82" s="260"/>
      <c r="I82" s="260"/>
      <c r="J82" s="260"/>
      <c r="K82" s="260"/>
      <c r="L82" s="260"/>
      <c r="M82" s="260"/>
      <c r="N82" s="260"/>
    </row>
    <row r="83" spans="2:14" ht="15" customHeight="1">
      <c r="B83" s="317" t="s">
        <v>180</v>
      </c>
      <c r="C83" s="260"/>
      <c r="D83" s="318">
        <v>6430</v>
      </c>
      <c r="E83" s="319">
        <v>40</v>
      </c>
      <c r="F83" s="320">
        <v>0</v>
      </c>
      <c r="G83" s="260"/>
      <c r="H83" s="260"/>
      <c r="I83" s="260"/>
      <c r="J83" s="260"/>
      <c r="K83" s="260"/>
      <c r="L83" s="260"/>
      <c r="M83" s="260"/>
      <c r="N83" s="260"/>
    </row>
    <row r="84" spans="2:14" ht="15" customHeight="1">
      <c r="B84" s="317" t="s">
        <v>212</v>
      </c>
      <c r="C84" s="260"/>
      <c r="D84" s="318">
        <v>6008</v>
      </c>
      <c r="E84" s="319">
        <v>25.8</v>
      </c>
      <c r="F84" s="320">
        <v>0</v>
      </c>
      <c r="G84" s="260"/>
      <c r="H84" s="260"/>
      <c r="I84" s="260"/>
      <c r="J84" s="260"/>
      <c r="K84" s="260"/>
      <c r="L84" s="260"/>
      <c r="M84" s="260"/>
      <c r="N84" s="260"/>
    </row>
    <row r="85" spans="2:14" ht="15" customHeight="1">
      <c r="B85" s="317" t="s">
        <v>213</v>
      </c>
      <c r="C85" s="260"/>
      <c r="D85" s="318">
        <v>6010</v>
      </c>
      <c r="E85" s="319">
        <v>9</v>
      </c>
      <c r="F85" s="320">
        <v>0</v>
      </c>
      <c r="G85" s="260"/>
      <c r="H85" s="260"/>
      <c r="I85" s="260"/>
      <c r="J85" s="260"/>
      <c r="K85" s="260"/>
      <c r="L85" s="260"/>
      <c r="M85" s="260"/>
      <c r="N85" s="260"/>
    </row>
    <row r="86" spans="2:14" ht="15" customHeight="1">
      <c r="B86" s="317" t="s">
        <v>223</v>
      </c>
      <c r="C86" s="260"/>
      <c r="D86" s="318">
        <v>6010</v>
      </c>
      <c r="E86" s="319">
        <v>2.02</v>
      </c>
      <c r="F86" s="320">
        <v>0</v>
      </c>
      <c r="G86" s="260"/>
      <c r="H86" s="260"/>
      <c r="I86" s="260"/>
      <c r="J86" s="260"/>
      <c r="K86" s="260"/>
      <c r="L86" s="260"/>
      <c r="M86" s="260"/>
      <c r="N86" s="260"/>
    </row>
    <row r="87" spans="2:14" ht="15" customHeight="1">
      <c r="B87" s="317" t="s">
        <v>224</v>
      </c>
      <c r="C87" s="260"/>
      <c r="D87" s="318">
        <v>6008</v>
      </c>
      <c r="E87" s="319">
        <v>114.83</v>
      </c>
      <c r="F87" s="320">
        <v>0</v>
      </c>
      <c r="G87" s="260"/>
      <c r="H87" s="260"/>
      <c r="I87" s="260"/>
      <c r="J87" s="260"/>
      <c r="K87" s="260"/>
      <c r="L87" s="260"/>
      <c r="M87" s="260"/>
      <c r="N87" s="260"/>
    </row>
    <row r="88" spans="2:14" ht="15" customHeight="1">
      <c r="B88" s="338" t="s">
        <v>146</v>
      </c>
      <c r="C88" s="325"/>
      <c r="D88" s="318"/>
      <c r="E88" s="319"/>
      <c r="F88" s="320"/>
      <c r="G88" s="260"/>
      <c r="H88" s="260"/>
      <c r="I88" s="260"/>
      <c r="J88" s="260"/>
      <c r="K88" s="260"/>
      <c r="L88" s="260"/>
      <c r="M88" s="260"/>
      <c r="N88" s="260"/>
    </row>
    <row r="89" spans="2:14" ht="15" customHeight="1">
      <c r="B89" s="328">
        <v>6</v>
      </c>
      <c r="C89" s="329"/>
      <c r="D89" s="330"/>
      <c r="E89" s="331">
        <f>SUM(E90:E93)</f>
        <v>105.8</v>
      </c>
      <c r="F89" s="332"/>
      <c r="G89" s="260"/>
      <c r="H89" s="260"/>
      <c r="I89" s="260"/>
      <c r="J89" s="260"/>
      <c r="K89" s="260"/>
      <c r="L89" s="260"/>
      <c r="M89" s="260"/>
      <c r="N89" s="260"/>
    </row>
    <row r="90" spans="2:14" ht="15" customHeight="1">
      <c r="B90" s="317" t="s">
        <v>182</v>
      </c>
      <c r="C90" s="260"/>
      <c r="D90" s="318">
        <v>6005</v>
      </c>
      <c r="E90" s="319">
        <v>96</v>
      </c>
      <c r="F90" s="320">
        <v>0</v>
      </c>
      <c r="G90" s="260"/>
      <c r="H90" s="260"/>
      <c r="I90" s="260"/>
      <c r="J90" s="260"/>
      <c r="K90" s="260"/>
      <c r="L90" s="260"/>
      <c r="M90" s="260"/>
      <c r="N90" s="260"/>
    </row>
    <row r="91" spans="2:14" ht="15" customHeight="1">
      <c r="B91" s="317" t="s">
        <v>32</v>
      </c>
      <c r="C91" s="260"/>
      <c r="D91" s="337" t="s">
        <v>162</v>
      </c>
      <c r="E91" s="319">
        <v>5.5</v>
      </c>
      <c r="F91" s="320">
        <v>0</v>
      </c>
      <c r="G91" s="260"/>
      <c r="H91" s="260"/>
      <c r="I91" s="260"/>
      <c r="J91" s="260"/>
      <c r="K91" s="260"/>
      <c r="L91" s="260"/>
      <c r="M91" s="260"/>
      <c r="N91" s="260"/>
    </row>
    <row r="92" spans="2:14" ht="15" customHeight="1">
      <c r="B92" s="317" t="s">
        <v>85</v>
      </c>
      <c r="C92" s="260"/>
      <c r="D92" s="337" t="s">
        <v>162</v>
      </c>
      <c r="E92" s="319">
        <v>4.3</v>
      </c>
      <c r="F92" s="320">
        <v>0</v>
      </c>
      <c r="G92" s="260"/>
      <c r="H92" s="260"/>
      <c r="I92" s="260"/>
      <c r="J92" s="260"/>
      <c r="K92" s="260"/>
      <c r="L92" s="260"/>
      <c r="M92" s="260"/>
      <c r="N92" s="260"/>
    </row>
    <row r="93" spans="2:14" ht="15" customHeight="1">
      <c r="B93" s="338" t="s">
        <v>146</v>
      </c>
      <c r="C93" s="325"/>
      <c r="D93" s="326"/>
      <c r="E93" s="327"/>
      <c r="F93" s="336"/>
      <c r="G93" s="260"/>
      <c r="H93" s="260"/>
      <c r="I93" s="260"/>
      <c r="J93" s="260"/>
      <c r="K93" s="260"/>
      <c r="L93" s="260"/>
      <c r="M93" s="260"/>
      <c r="N93" s="260"/>
    </row>
    <row r="94" spans="2:14" ht="15" customHeight="1">
      <c r="B94" s="312">
        <v>7</v>
      </c>
      <c r="C94" s="313"/>
      <c r="D94" s="314"/>
      <c r="E94" s="315">
        <f>SUM(E95:E98)</f>
        <v>188.76</v>
      </c>
      <c r="F94" s="316"/>
      <c r="G94" s="260"/>
      <c r="H94" s="260"/>
      <c r="I94" s="260"/>
      <c r="J94" s="260"/>
      <c r="K94" s="260"/>
      <c r="L94" s="260"/>
      <c r="M94" s="260"/>
      <c r="N94" s="260"/>
    </row>
    <row r="95" spans="2:14" ht="15" customHeight="1">
      <c r="B95" s="317" t="s">
        <v>33</v>
      </c>
      <c r="C95" s="260"/>
      <c r="D95" s="318">
        <v>6171</v>
      </c>
      <c r="E95" s="319">
        <v>54</v>
      </c>
      <c r="F95" s="320">
        <v>0</v>
      </c>
      <c r="G95" s="260"/>
      <c r="H95" s="260"/>
      <c r="I95" s="260"/>
      <c r="J95" s="260"/>
      <c r="K95" s="260"/>
      <c r="L95" s="260"/>
      <c r="M95" s="260"/>
      <c r="N95" s="260"/>
    </row>
    <row r="96" spans="2:14" ht="15" customHeight="1">
      <c r="B96" s="317" t="s">
        <v>187</v>
      </c>
      <c r="C96" s="260"/>
      <c r="D96" s="318" t="s">
        <v>214</v>
      </c>
      <c r="E96" s="319">
        <v>56</v>
      </c>
      <c r="F96" s="320">
        <v>0</v>
      </c>
      <c r="G96" s="260"/>
      <c r="H96" s="260"/>
      <c r="I96" s="260"/>
      <c r="J96" s="260"/>
      <c r="K96" s="260"/>
      <c r="L96" s="260"/>
      <c r="M96" s="260"/>
      <c r="N96" s="260"/>
    </row>
    <row r="97" spans="2:14" ht="15" customHeight="1">
      <c r="B97" s="317" t="s">
        <v>190</v>
      </c>
      <c r="C97" s="260"/>
      <c r="D97" s="318" t="s">
        <v>214</v>
      </c>
      <c r="E97" s="319">
        <v>78.760000000000005</v>
      </c>
      <c r="F97" s="320">
        <v>0</v>
      </c>
      <c r="G97" s="260"/>
      <c r="H97" s="260"/>
      <c r="I97" s="260"/>
      <c r="J97" s="260"/>
      <c r="K97" s="260"/>
      <c r="L97" s="260"/>
      <c r="M97" s="260"/>
      <c r="N97" s="260"/>
    </row>
    <row r="98" spans="2:14" ht="15" customHeight="1">
      <c r="B98" s="338" t="s">
        <v>146</v>
      </c>
      <c r="C98" s="325"/>
      <c r="D98" s="341"/>
      <c r="E98" s="342"/>
      <c r="F98" s="343"/>
      <c r="G98" s="260"/>
      <c r="H98" s="260"/>
      <c r="I98" s="260"/>
      <c r="J98" s="260"/>
      <c r="K98" s="260"/>
      <c r="L98" s="260"/>
      <c r="M98" s="260"/>
      <c r="N98" s="260"/>
    </row>
    <row r="99" spans="2:14" ht="15" customHeight="1">
      <c r="B99" s="328">
        <v>8</v>
      </c>
      <c r="C99" s="329"/>
      <c r="D99" s="330"/>
      <c r="E99" s="331">
        <f>SUM(E100:E101)</f>
        <v>260</v>
      </c>
      <c r="F99" s="332"/>
      <c r="G99" s="260"/>
      <c r="H99" s="260"/>
      <c r="I99" s="260"/>
      <c r="J99" s="260"/>
      <c r="K99" s="260"/>
      <c r="L99" s="260"/>
      <c r="M99" s="260"/>
      <c r="N99" s="260"/>
    </row>
    <row r="100" spans="2:14" ht="15" customHeight="1">
      <c r="B100" s="317" t="s">
        <v>4</v>
      </c>
      <c r="C100" s="260"/>
      <c r="D100" s="318">
        <v>6100</v>
      </c>
      <c r="E100" s="319">
        <v>260</v>
      </c>
      <c r="F100" s="320">
        <v>0</v>
      </c>
      <c r="G100" s="260"/>
      <c r="H100" s="260"/>
      <c r="I100" s="260"/>
      <c r="J100" s="260"/>
      <c r="K100" s="260"/>
      <c r="L100" s="260"/>
      <c r="M100" s="260"/>
      <c r="N100" s="260"/>
    </row>
    <row r="101" spans="2:14" ht="15" customHeight="1">
      <c r="B101" s="338" t="s">
        <v>146</v>
      </c>
      <c r="C101" s="325"/>
      <c r="D101" s="326"/>
      <c r="E101" s="327"/>
      <c r="F101" s="336"/>
      <c r="G101" s="260"/>
      <c r="H101" s="260"/>
      <c r="I101" s="260"/>
      <c r="J101" s="260"/>
      <c r="K101" s="260"/>
      <c r="L101" s="260"/>
      <c r="M101" s="260"/>
      <c r="N101" s="260"/>
    </row>
    <row r="102" spans="2:14" ht="15" customHeight="1">
      <c r="B102" s="312">
        <v>9</v>
      </c>
      <c r="C102" s="345"/>
      <c r="D102" s="346"/>
      <c r="E102" s="315">
        <f>SUM(E103:E111)</f>
        <v>1462.4</v>
      </c>
      <c r="F102" s="316"/>
      <c r="G102" s="260"/>
      <c r="H102" s="260"/>
      <c r="I102" s="260"/>
      <c r="J102" s="260"/>
      <c r="K102" s="260"/>
      <c r="L102" s="260"/>
      <c r="M102" s="260"/>
      <c r="N102" s="260"/>
    </row>
    <row r="103" spans="2:14" ht="15" customHeight="1">
      <c r="B103" s="317" t="s">
        <v>192</v>
      </c>
      <c r="C103" s="260"/>
      <c r="D103" s="318">
        <v>6059</v>
      </c>
      <c r="E103" s="319">
        <v>160</v>
      </c>
      <c r="F103" s="320">
        <v>0</v>
      </c>
      <c r="G103" s="260"/>
      <c r="H103" s="260"/>
      <c r="I103" s="260"/>
      <c r="J103" s="260"/>
      <c r="K103" s="260"/>
      <c r="L103" s="260"/>
      <c r="M103" s="260"/>
      <c r="N103" s="260"/>
    </row>
    <row r="104" spans="2:14" ht="15" customHeight="1">
      <c r="B104" s="317" t="s">
        <v>193</v>
      </c>
      <c r="C104" s="260"/>
      <c r="D104" s="318">
        <v>6060</v>
      </c>
      <c r="E104" s="319">
        <v>120</v>
      </c>
      <c r="F104" s="320">
        <v>0</v>
      </c>
      <c r="G104" s="260"/>
      <c r="H104" s="260"/>
      <c r="I104" s="260"/>
      <c r="J104" s="260"/>
      <c r="K104" s="260"/>
      <c r="L104" s="260"/>
      <c r="M104" s="260"/>
      <c r="N104" s="260"/>
    </row>
    <row r="105" spans="2:14" ht="15" customHeight="1">
      <c r="B105" s="317" t="s">
        <v>194</v>
      </c>
      <c r="C105" s="260"/>
      <c r="D105" s="318">
        <v>6270</v>
      </c>
      <c r="E105" s="319">
        <v>87</v>
      </c>
      <c r="F105" s="320">
        <v>0</v>
      </c>
      <c r="G105" s="260"/>
      <c r="H105" s="260"/>
      <c r="I105" s="260"/>
      <c r="J105" s="260"/>
      <c r="K105" s="260"/>
      <c r="L105" s="260"/>
      <c r="M105" s="260"/>
      <c r="N105" s="260"/>
    </row>
    <row r="106" spans="2:14" ht="15" customHeight="1">
      <c r="B106" s="317" t="s">
        <v>195</v>
      </c>
      <c r="C106" s="260"/>
      <c r="D106" s="318">
        <v>6290</v>
      </c>
      <c r="E106" s="319">
        <v>150</v>
      </c>
      <c r="F106" s="320">
        <v>0</v>
      </c>
      <c r="G106" s="260"/>
      <c r="H106" s="260"/>
      <c r="I106" s="260"/>
      <c r="J106" s="260"/>
      <c r="K106" s="260"/>
      <c r="L106" s="260"/>
      <c r="M106" s="260"/>
      <c r="N106" s="260"/>
    </row>
    <row r="107" spans="2:14" ht="15" customHeight="1">
      <c r="B107" s="317" t="s">
        <v>86</v>
      </c>
      <c r="C107" s="260"/>
      <c r="D107" s="318">
        <v>6170</v>
      </c>
      <c r="E107" s="319">
        <v>50.4</v>
      </c>
      <c r="F107" s="320">
        <v>0</v>
      </c>
      <c r="G107" s="260"/>
      <c r="H107" s="260"/>
      <c r="I107" s="260"/>
      <c r="J107" s="260"/>
      <c r="K107" s="260"/>
      <c r="L107" s="260"/>
      <c r="M107" s="260"/>
      <c r="N107" s="260"/>
    </row>
    <row r="108" spans="2:14" ht="15" customHeight="1">
      <c r="B108" s="317" t="s">
        <v>225</v>
      </c>
      <c r="C108" s="260"/>
      <c r="D108" s="318">
        <v>6074</v>
      </c>
      <c r="E108" s="319">
        <v>10</v>
      </c>
      <c r="F108" s="320">
        <v>0</v>
      </c>
      <c r="G108" s="260"/>
      <c r="H108" s="260"/>
      <c r="I108" s="260"/>
      <c r="J108" s="260"/>
      <c r="K108" s="260"/>
      <c r="L108" s="260"/>
      <c r="M108" s="260"/>
      <c r="N108" s="260"/>
    </row>
    <row r="109" spans="2:14" ht="15" customHeight="1">
      <c r="B109" s="317" t="s">
        <v>229</v>
      </c>
      <c r="C109" s="260"/>
      <c r="D109" s="318">
        <v>6173</v>
      </c>
      <c r="E109" s="319">
        <v>225</v>
      </c>
      <c r="F109" s="320">
        <v>7</v>
      </c>
      <c r="G109" s="260"/>
      <c r="H109" s="260"/>
      <c r="I109" s="260"/>
      <c r="J109" s="260"/>
      <c r="K109" s="260"/>
      <c r="L109" s="260"/>
      <c r="M109" s="260"/>
      <c r="N109" s="260"/>
    </row>
    <row r="110" spans="2:14" ht="15" customHeight="1">
      <c r="B110" s="317" t="s">
        <v>230</v>
      </c>
      <c r="C110" s="260"/>
      <c r="D110" s="318">
        <v>6429</v>
      </c>
      <c r="E110" s="319">
        <v>660</v>
      </c>
      <c r="F110" s="320">
        <v>7</v>
      </c>
      <c r="G110" s="260"/>
      <c r="H110" s="260"/>
      <c r="I110" s="260"/>
      <c r="J110" s="260"/>
      <c r="K110" s="260"/>
      <c r="L110" s="260"/>
      <c r="M110" s="260"/>
      <c r="N110" s="260"/>
    </row>
    <row r="111" spans="2:14" ht="15" customHeight="1">
      <c r="B111" s="338" t="s">
        <v>146</v>
      </c>
      <c r="C111" s="325"/>
      <c r="D111" s="318"/>
      <c r="E111" s="319"/>
      <c r="F111" s="320"/>
      <c r="G111" s="260"/>
      <c r="H111" s="260"/>
      <c r="I111" s="260"/>
      <c r="J111" s="260"/>
      <c r="K111" s="260"/>
      <c r="L111" s="260"/>
      <c r="M111" s="260"/>
      <c r="N111" s="260"/>
    </row>
    <row r="112" spans="2:14" ht="15" customHeight="1">
      <c r="B112" s="328">
        <v>10</v>
      </c>
      <c r="C112" s="347"/>
      <c r="D112" s="348"/>
      <c r="E112" s="331">
        <f>SUM(E113:E115)</f>
        <v>254.02999999999997</v>
      </c>
      <c r="F112" s="332"/>
      <c r="G112" s="260"/>
      <c r="H112" s="260"/>
      <c r="I112" s="260"/>
      <c r="J112" s="260"/>
      <c r="K112" s="349"/>
      <c r="L112" s="260"/>
      <c r="M112" s="260"/>
      <c r="N112" s="260"/>
    </row>
    <row r="113" spans="2:14" ht="15" customHeight="1">
      <c r="B113" s="317" t="s">
        <v>191</v>
      </c>
      <c r="C113" s="260"/>
      <c r="D113" s="318">
        <v>6263</v>
      </c>
      <c r="E113" s="319">
        <v>222.17</v>
      </c>
      <c r="F113" s="320">
        <v>0</v>
      </c>
      <c r="G113" s="260"/>
      <c r="H113" s="260"/>
      <c r="I113" s="260"/>
      <c r="J113" s="260"/>
      <c r="K113" s="349"/>
      <c r="L113" s="260"/>
      <c r="M113" s="260"/>
      <c r="N113" s="260"/>
    </row>
    <row r="114" spans="2:14" ht="15" customHeight="1">
      <c r="B114" s="317" t="s">
        <v>14</v>
      </c>
      <c r="C114" s="260"/>
      <c r="D114" s="318">
        <v>6261</v>
      </c>
      <c r="E114" s="319">
        <v>31.86</v>
      </c>
      <c r="F114" s="320">
        <v>0</v>
      </c>
      <c r="G114" s="260"/>
      <c r="H114" s="260"/>
      <c r="I114" s="260"/>
      <c r="J114" s="260"/>
      <c r="K114" s="349"/>
      <c r="L114" s="260"/>
      <c r="M114" s="260"/>
      <c r="N114" s="260"/>
    </row>
    <row r="115" spans="2:14" ht="15" customHeight="1">
      <c r="B115" s="338" t="s">
        <v>146</v>
      </c>
      <c r="C115" s="325"/>
      <c r="D115" s="326"/>
      <c r="E115" s="327"/>
      <c r="F115" s="336"/>
      <c r="G115" s="260"/>
      <c r="H115" s="260"/>
      <c r="I115" s="260"/>
      <c r="J115" s="260"/>
      <c r="K115" s="349"/>
      <c r="L115" s="260"/>
      <c r="M115" s="260"/>
      <c r="N115" s="260"/>
    </row>
    <row r="116" spans="2:14" ht="15" customHeight="1">
      <c r="K116" s="374"/>
    </row>
    <row r="117" spans="2:14" ht="15" customHeight="1">
      <c r="K117" s="374"/>
    </row>
    <row r="118" spans="2:14" ht="15" customHeight="1">
      <c r="K118" s="374"/>
    </row>
    <row r="119" spans="2:14" ht="15" customHeight="1">
      <c r="K119" s="374"/>
    </row>
    <row r="120" spans="2:14" ht="15" customHeight="1">
      <c r="K120" s="374"/>
    </row>
    <row r="121" spans="2:14" ht="15" customHeight="1">
      <c r="K121" s="374"/>
    </row>
    <row r="122" spans="2:14" ht="15" customHeight="1">
      <c r="K122" s="374"/>
    </row>
    <row r="123" spans="2:14" ht="15" customHeight="1">
      <c r="K123" s="374"/>
    </row>
    <row r="124" spans="2:14" ht="15" customHeight="1">
      <c r="K124" s="374"/>
    </row>
    <row r="125" spans="2:14" ht="15" customHeight="1">
      <c r="K125" s="374"/>
    </row>
    <row r="126" spans="2:14" ht="15" customHeight="1">
      <c r="K126" s="374"/>
    </row>
    <row r="127" spans="2:14" ht="15" customHeight="1">
      <c r="K127" s="374"/>
    </row>
    <row r="128" spans="2:14" ht="15" customHeight="1">
      <c r="K128" s="374"/>
    </row>
    <row r="129" spans="11:11" ht="15" customHeight="1">
      <c r="K129" s="374"/>
    </row>
    <row r="130" spans="11:11" ht="15" customHeight="1">
      <c r="K130" s="374"/>
    </row>
    <row r="131" spans="11:11" ht="15" customHeight="1">
      <c r="K131" s="374"/>
    </row>
    <row r="132" spans="11:11" ht="15" customHeight="1">
      <c r="K132" s="374"/>
    </row>
    <row r="133" spans="11:11" ht="15" customHeight="1">
      <c r="K133" s="374"/>
    </row>
    <row r="134" spans="11:11" ht="15" customHeight="1">
      <c r="K134" s="374"/>
    </row>
    <row r="135" spans="11:11" ht="15" customHeight="1">
      <c r="K135" s="374"/>
    </row>
    <row r="136" spans="11:11" ht="15" customHeight="1">
      <c r="K136" s="374"/>
    </row>
    <row r="137" spans="11:11" ht="15" customHeight="1">
      <c r="K137" s="374"/>
    </row>
    <row r="138" spans="11:11" ht="15" customHeight="1">
      <c r="K138" s="374"/>
    </row>
    <row r="139" spans="11:11" ht="15" customHeight="1">
      <c r="K139" s="374"/>
    </row>
    <row r="140" spans="11:11" ht="15" customHeight="1">
      <c r="K140" s="374"/>
    </row>
    <row r="141" spans="11:11" ht="15" customHeight="1">
      <c r="K141" s="374"/>
    </row>
    <row r="142" spans="11:11" ht="15" customHeight="1">
      <c r="K142" s="374"/>
    </row>
    <row r="143" spans="11:11" ht="15" customHeight="1">
      <c r="K143" s="374"/>
    </row>
    <row r="144" spans="11:11" ht="15" customHeight="1">
      <c r="K144" s="374"/>
    </row>
    <row r="145" spans="11:11" ht="15" customHeight="1">
      <c r="K145" s="374"/>
    </row>
    <row r="146" spans="11:11" ht="15" customHeight="1">
      <c r="K146" s="374"/>
    </row>
    <row r="147" spans="11:11" ht="15" customHeight="1">
      <c r="K147" s="374"/>
    </row>
    <row r="148" spans="11:11" ht="15" customHeight="1">
      <c r="K148" s="374"/>
    </row>
    <row r="149" spans="11:11" ht="15" customHeight="1">
      <c r="K149" s="374"/>
    </row>
    <row r="150" spans="11:11" ht="15" customHeight="1">
      <c r="K150" s="374"/>
    </row>
    <row r="151" spans="11:11" ht="15" customHeight="1">
      <c r="K151" s="374"/>
    </row>
    <row r="152" spans="11:11" ht="15" customHeight="1">
      <c r="K152" s="374"/>
    </row>
    <row r="153" spans="11:11" ht="15" customHeight="1">
      <c r="K153" s="374"/>
    </row>
    <row r="154" spans="11:11" ht="15" customHeight="1">
      <c r="K154" s="374"/>
    </row>
    <row r="155" spans="11:11" ht="15" customHeight="1">
      <c r="K155" s="374"/>
    </row>
    <row r="156" spans="11:11" ht="15" customHeight="1">
      <c r="K156" s="374"/>
    </row>
    <row r="157" spans="11:11" ht="15" customHeight="1">
      <c r="K157" s="374"/>
    </row>
    <row r="158" spans="11:11" ht="15" customHeight="1">
      <c r="K158" s="374"/>
    </row>
    <row r="159" spans="11:11" ht="15" customHeight="1">
      <c r="K159" s="374"/>
    </row>
    <row r="160" spans="11:11" ht="15" customHeight="1">
      <c r="K160" s="374"/>
    </row>
    <row r="161" spans="11:11" ht="15" customHeight="1">
      <c r="K161" s="374"/>
    </row>
    <row r="162" spans="11:11" ht="15" customHeight="1">
      <c r="K162" s="374"/>
    </row>
    <row r="163" spans="11:11" ht="15" customHeight="1">
      <c r="K163" s="374"/>
    </row>
    <row r="164" spans="11:11" ht="15" customHeight="1">
      <c r="K164" s="374"/>
    </row>
    <row r="165" spans="11:11" ht="15" customHeight="1">
      <c r="K165" s="374"/>
    </row>
    <row r="166" spans="11:11" ht="15" customHeight="1">
      <c r="K166" s="374"/>
    </row>
    <row r="167" spans="11:11" ht="15" customHeight="1">
      <c r="K167" s="374"/>
    </row>
    <row r="168" spans="11:11" ht="15" customHeight="1">
      <c r="K168" s="374"/>
    </row>
    <row r="169" spans="11:11" ht="15" customHeight="1">
      <c r="K169" s="374"/>
    </row>
    <row r="170" spans="11:11" ht="15" customHeight="1">
      <c r="K170" s="374"/>
    </row>
    <row r="171" spans="11:11" ht="15" customHeight="1">
      <c r="K171" s="374"/>
    </row>
    <row r="172" spans="11:11" ht="15" customHeight="1">
      <c r="K172" s="374"/>
    </row>
    <row r="173" spans="11:11" ht="15" customHeight="1">
      <c r="K173" s="374"/>
    </row>
    <row r="174" spans="11:11" ht="15" customHeight="1">
      <c r="K174" s="374"/>
    </row>
    <row r="175" spans="11:11" ht="15" customHeight="1">
      <c r="K175" s="374"/>
    </row>
    <row r="176" spans="11:11" ht="15" customHeight="1">
      <c r="K176" s="374"/>
    </row>
    <row r="177" spans="11:11" ht="15" customHeight="1">
      <c r="K177" s="374"/>
    </row>
    <row r="178" spans="11:11" ht="15" customHeight="1">
      <c r="K178" s="374"/>
    </row>
    <row r="179" spans="11:11" ht="15" customHeight="1">
      <c r="K179" s="374"/>
    </row>
    <row r="180" spans="11:11" ht="15" customHeight="1">
      <c r="K180" s="374"/>
    </row>
    <row r="181" spans="11:11" ht="15" customHeight="1">
      <c r="K181" s="374"/>
    </row>
    <row r="182" spans="11:11" ht="15" customHeight="1">
      <c r="K182" s="374"/>
    </row>
    <row r="183" spans="11:11" ht="15" customHeight="1">
      <c r="K183" s="374"/>
    </row>
    <row r="184" spans="11:11" ht="15" customHeight="1">
      <c r="K184" s="374"/>
    </row>
    <row r="185" spans="11:11" ht="15" customHeight="1">
      <c r="K185" s="374"/>
    </row>
    <row r="186" spans="11:11" ht="15" customHeight="1">
      <c r="K186" s="374"/>
    </row>
    <row r="187" spans="11:11" ht="15" customHeight="1">
      <c r="K187" s="374"/>
    </row>
    <row r="188" spans="11:11" ht="15" customHeight="1">
      <c r="K188" s="374"/>
    </row>
    <row r="189" spans="11:11" ht="15" customHeight="1">
      <c r="K189" s="374"/>
    </row>
    <row r="190" spans="11:11" ht="15" customHeight="1">
      <c r="K190" s="374"/>
    </row>
    <row r="191" spans="11:11" ht="15" customHeight="1">
      <c r="K191" s="374"/>
    </row>
    <row r="192" spans="11:11" ht="15" customHeight="1">
      <c r="K192" s="374"/>
    </row>
    <row r="193" spans="5:11" ht="15" customHeight="1">
      <c r="K193" s="374"/>
    </row>
    <row r="194" spans="5:11" ht="15" customHeight="1">
      <c r="K194" s="374"/>
    </row>
    <row r="195" spans="5:11" ht="15" customHeight="1">
      <c r="K195" s="374"/>
    </row>
    <row r="197" spans="5:11" ht="15" customHeight="1">
      <c r="E197" s="374"/>
    </row>
    <row r="198" spans="5:11" ht="15" customHeight="1">
      <c r="E198" s="374"/>
    </row>
    <row r="199" spans="5:11" ht="15" customHeight="1">
      <c r="E199" s="374"/>
    </row>
    <row r="200" spans="5:11" ht="15" customHeight="1">
      <c r="E200" s="374"/>
    </row>
    <row r="201" spans="5:11" ht="15" customHeight="1">
      <c r="E201" s="374"/>
    </row>
    <row r="202" spans="5:11" ht="15" customHeight="1">
      <c r="E202" s="374"/>
    </row>
    <row r="203" spans="5:11" ht="15" customHeight="1">
      <c r="E203" s="374"/>
    </row>
    <row r="204" spans="5:11" ht="15" customHeight="1">
      <c r="E204" s="374"/>
    </row>
    <row r="205" spans="5:11" ht="15" customHeight="1">
      <c r="E205" s="374"/>
    </row>
    <row r="206" spans="5:11" ht="15" customHeight="1">
      <c r="E206" s="374"/>
    </row>
    <row r="207" spans="5:11" ht="15" customHeight="1">
      <c r="E207" s="374"/>
    </row>
    <row r="208" spans="5:11" ht="15" customHeight="1">
      <c r="E208" s="374"/>
    </row>
    <row r="209" spans="5:11" ht="15" customHeight="1">
      <c r="E209" s="374"/>
    </row>
    <row r="210" spans="5:11" ht="15" customHeight="1">
      <c r="E210" s="374"/>
    </row>
    <row r="211" spans="5:11" ht="15" customHeight="1">
      <c r="E211" s="374"/>
    </row>
    <row r="212" spans="5:11" ht="15" customHeight="1">
      <c r="E212" s="374"/>
    </row>
    <row r="213" spans="5:11" ht="15" customHeight="1">
      <c r="E213" s="374"/>
    </row>
    <row r="214" spans="5:11" ht="15" customHeight="1">
      <c r="E214" s="374"/>
    </row>
    <row r="215" spans="5:11" ht="15" customHeight="1">
      <c r="E215" s="374"/>
      <c r="K215" s="374"/>
    </row>
    <row r="216" spans="5:11" ht="15" customHeight="1">
      <c r="E216" s="374"/>
      <c r="K216" s="374"/>
    </row>
    <row r="217" spans="5:11" ht="15" customHeight="1">
      <c r="E217" s="374"/>
      <c r="K217" s="374"/>
    </row>
    <row r="218" spans="5:11" ht="15" customHeight="1">
      <c r="E218" s="374"/>
      <c r="K218" s="374"/>
    </row>
    <row r="219" spans="5:11" ht="15" customHeight="1">
      <c r="E219" s="374"/>
      <c r="K219" s="374"/>
    </row>
    <row r="220" spans="5:11" ht="15" customHeight="1">
      <c r="E220" s="374"/>
      <c r="K220" s="374"/>
    </row>
    <row r="221" spans="5:11" ht="15" customHeight="1">
      <c r="E221" s="374"/>
      <c r="K221" s="374"/>
    </row>
    <row r="222" spans="5:11" ht="15" customHeight="1">
      <c r="E222" s="374"/>
      <c r="K222" s="374"/>
    </row>
    <row r="223" spans="5:11" ht="15" customHeight="1">
      <c r="E223" s="374"/>
      <c r="K223" s="374"/>
    </row>
    <row r="224" spans="5:11" ht="15" customHeight="1">
      <c r="E224" s="374"/>
      <c r="K224" s="374"/>
    </row>
    <row r="225" spans="5:11" ht="15" customHeight="1">
      <c r="E225" s="374"/>
      <c r="K225" s="374"/>
    </row>
    <row r="226" spans="5:11" ht="15" customHeight="1">
      <c r="E226" s="374"/>
      <c r="K226" s="374"/>
    </row>
    <row r="227" spans="5:11" ht="15" customHeight="1">
      <c r="E227" s="374"/>
      <c r="K227" s="374"/>
    </row>
    <row r="228" spans="5:11" ht="15" customHeight="1">
      <c r="E228" s="374"/>
      <c r="K228" s="374"/>
    </row>
    <row r="229" spans="5:11" ht="15" customHeight="1">
      <c r="E229" s="374"/>
      <c r="K229" s="374"/>
    </row>
    <row r="230" spans="5:11" ht="15" customHeight="1">
      <c r="E230" s="374"/>
      <c r="K230" s="374"/>
    </row>
    <row r="231" spans="5:11" ht="15" customHeight="1">
      <c r="E231" s="374"/>
      <c r="K231" s="374"/>
    </row>
    <row r="232" spans="5:11" ht="15" customHeight="1">
      <c r="E232" s="374"/>
      <c r="K232" s="374"/>
    </row>
    <row r="233" spans="5:11" ht="15" customHeight="1">
      <c r="E233" s="374"/>
      <c r="K233" s="374"/>
    </row>
    <row r="234" spans="5:11" ht="15" customHeight="1">
      <c r="E234" s="374"/>
      <c r="K234" s="374"/>
    </row>
    <row r="235" spans="5:11" ht="15" customHeight="1">
      <c r="E235" s="374"/>
      <c r="K235" s="374"/>
    </row>
    <row r="236" spans="5:11" ht="15" customHeight="1">
      <c r="E236" s="374"/>
      <c r="K236" s="374"/>
    </row>
    <row r="237" spans="5:11" ht="15" customHeight="1">
      <c r="E237" s="374"/>
      <c r="K237" s="374"/>
    </row>
    <row r="238" spans="5:11" ht="15" customHeight="1">
      <c r="E238" s="374"/>
      <c r="K238" s="374"/>
    </row>
    <row r="239" spans="5:11" ht="15" customHeight="1">
      <c r="E239" s="374"/>
      <c r="K239" s="374"/>
    </row>
    <row r="240" spans="5:11" ht="15" customHeight="1">
      <c r="E240" s="374"/>
      <c r="K240" s="374"/>
    </row>
    <row r="241" spans="5:11" ht="15" customHeight="1">
      <c r="E241" s="374"/>
      <c r="K241" s="374"/>
    </row>
    <row r="242" spans="5:11" ht="15" customHeight="1">
      <c r="E242" s="374"/>
      <c r="K242" s="374"/>
    </row>
    <row r="243" spans="5:11" ht="15" customHeight="1">
      <c r="E243" s="374"/>
      <c r="K243" s="374"/>
    </row>
    <row r="244" spans="5:11" ht="15" customHeight="1">
      <c r="E244" s="374"/>
      <c r="K244" s="374"/>
    </row>
    <row r="245" spans="5:11" ht="15" customHeight="1">
      <c r="E245" s="374"/>
      <c r="K245" s="374"/>
    </row>
    <row r="246" spans="5:11" ht="15" customHeight="1">
      <c r="E246" s="374"/>
      <c r="K246" s="374"/>
    </row>
    <row r="247" spans="5:11" ht="15" customHeight="1">
      <c r="E247" s="374"/>
      <c r="K247" s="374"/>
    </row>
    <row r="248" spans="5:11" ht="15" customHeight="1">
      <c r="E248" s="374"/>
      <c r="K248" s="374"/>
    </row>
    <row r="249" spans="5:11" ht="15" customHeight="1">
      <c r="E249" s="374"/>
      <c r="K249" s="374"/>
    </row>
    <row r="250" spans="5:11" ht="15" customHeight="1">
      <c r="E250" s="374"/>
      <c r="K250" s="374"/>
    </row>
    <row r="251" spans="5:11" ht="15" customHeight="1">
      <c r="E251" s="374"/>
      <c r="K251" s="374"/>
    </row>
    <row r="252" spans="5:11" ht="15" customHeight="1">
      <c r="E252" s="374"/>
      <c r="K252" s="374"/>
    </row>
    <row r="253" spans="5:11" ht="15" customHeight="1">
      <c r="E253" s="374"/>
      <c r="K253" s="374"/>
    </row>
    <row r="254" spans="5:11" ht="15" customHeight="1">
      <c r="E254" s="374"/>
      <c r="K254" s="374"/>
    </row>
    <row r="255" spans="5:11" ht="15" customHeight="1">
      <c r="E255" s="374"/>
      <c r="K255" s="374"/>
    </row>
    <row r="256" spans="5:11" ht="15" customHeight="1">
      <c r="E256" s="374"/>
      <c r="K256" s="374"/>
    </row>
    <row r="257" spans="5:11" ht="15" customHeight="1">
      <c r="E257" s="374"/>
      <c r="K257" s="374"/>
    </row>
    <row r="258" spans="5:11" ht="15" customHeight="1">
      <c r="E258" s="374"/>
      <c r="K258" s="374"/>
    </row>
    <row r="259" spans="5:11" ht="15" customHeight="1">
      <c r="E259" s="374"/>
      <c r="K259" s="374"/>
    </row>
    <row r="260" spans="5:11" ht="15" customHeight="1">
      <c r="E260" s="374"/>
      <c r="K260" s="374"/>
    </row>
    <row r="261" spans="5:11" ht="15" customHeight="1">
      <c r="E261" s="374"/>
      <c r="K261" s="374"/>
    </row>
    <row r="262" spans="5:11" ht="15" customHeight="1">
      <c r="E262" s="374"/>
      <c r="K262" s="374"/>
    </row>
    <row r="263" spans="5:11" ht="15" customHeight="1">
      <c r="E263" s="374"/>
      <c r="K263" s="374"/>
    </row>
    <row r="264" spans="5:11" ht="15" customHeight="1">
      <c r="E264" s="374"/>
      <c r="K264" s="374"/>
    </row>
    <row r="265" spans="5:11" ht="15" customHeight="1">
      <c r="E265" s="374"/>
      <c r="K265" s="374"/>
    </row>
    <row r="266" spans="5:11" ht="15" customHeight="1">
      <c r="E266" s="374"/>
      <c r="K266" s="374"/>
    </row>
    <row r="267" spans="5:11" ht="15" customHeight="1">
      <c r="E267" s="374"/>
      <c r="K267" s="374"/>
    </row>
    <row r="268" spans="5:11" ht="15" customHeight="1">
      <c r="E268" s="374"/>
      <c r="K268" s="374"/>
    </row>
    <row r="269" spans="5:11" ht="15" customHeight="1">
      <c r="E269" s="374"/>
      <c r="K269" s="374"/>
    </row>
    <row r="270" spans="5:11" ht="15" customHeight="1">
      <c r="E270" s="374"/>
      <c r="K270" s="374"/>
    </row>
    <row r="271" spans="5:11" ht="15" customHeight="1">
      <c r="E271" s="374"/>
      <c r="K271" s="374"/>
    </row>
    <row r="272" spans="5:11" ht="15" customHeight="1">
      <c r="E272" s="374"/>
      <c r="K272" s="374"/>
    </row>
    <row r="273" spans="5:11" ht="15" customHeight="1">
      <c r="E273" s="374"/>
      <c r="K273" s="374"/>
    </row>
    <row r="274" spans="5:11" ht="15" customHeight="1">
      <c r="E274" s="374"/>
      <c r="K274" s="374"/>
    </row>
    <row r="275" spans="5:11" ht="15" customHeight="1">
      <c r="E275" s="374"/>
      <c r="K275" s="374"/>
    </row>
    <row r="276" spans="5:11" ht="15" customHeight="1">
      <c r="E276" s="374"/>
      <c r="K276" s="374"/>
    </row>
    <row r="277" spans="5:11" ht="15" customHeight="1">
      <c r="E277" s="374"/>
      <c r="K277" s="374"/>
    </row>
    <row r="278" spans="5:11" ht="15" customHeight="1">
      <c r="E278" s="374"/>
      <c r="K278" s="374"/>
    </row>
    <row r="279" spans="5:11" ht="15" customHeight="1">
      <c r="E279" s="374"/>
      <c r="K279" s="374"/>
    </row>
    <row r="280" spans="5:11" ht="15" customHeight="1">
      <c r="E280" s="374"/>
      <c r="K280" s="374"/>
    </row>
    <row r="281" spans="5:11" ht="15" customHeight="1">
      <c r="E281" s="374"/>
      <c r="K281" s="374"/>
    </row>
    <row r="282" spans="5:11" ht="15" customHeight="1">
      <c r="E282" s="374"/>
      <c r="K282" s="374"/>
    </row>
    <row r="283" spans="5:11" ht="15" customHeight="1">
      <c r="E283" s="374"/>
      <c r="K283" s="374"/>
    </row>
    <row r="284" spans="5:11" ht="15" customHeight="1">
      <c r="E284" s="374"/>
      <c r="K284" s="374"/>
    </row>
    <row r="285" spans="5:11" ht="15" customHeight="1">
      <c r="E285" s="374"/>
      <c r="K285" s="374"/>
    </row>
    <row r="286" spans="5:11" ht="15" customHeight="1">
      <c r="E286" s="374"/>
      <c r="K286" s="374"/>
    </row>
    <row r="287" spans="5:11" ht="15" customHeight="1">
      <c r="E287" s="374"/>
      <c r="K287" s="374"/>
    </row>
    <row r="288" spans="5:11" ht="15" customHeight="1">
      <c r="E288" s="374"/>
      <c r="K288" s="374"/>
    </row>
    <row r="289" spans="5:11" ht="15" customHeight="1">
      <c r="E289" s="374"/>
      <c r="K289" s="374"/>
    </row>
    <row r="290" spans="5:11" ht="15" customHeight="1">
      <c r="E290" s="374"/>
      <c r="K290" s="374"/>
    </row>
  </sheetData>
  <conditionalFormatting sqref="E197:E290 K215:K290">
    <cfRule type="cellIs" dxfId="43" priority="5" operator="equal">
      <formula>0</formula>
    </cfRule>
  </conditionalFormatting>
  <conditionalFormatting sqref="E20:F21 E26:F31 E33:F73 E75:F101 E103:F110 C13:M14 K20:K22 K27:K28 K31:K34 K36:K64 K66:K80 K102:K105 K111:K195">
    <cfRule type="cellIs" dxfId="42" priority="3" operator="equal">
      <formula>0</formula>
    </cfRule>
  </conditionalFormatting>
  <conditionalFormatting sqref="E113:F115 E111">
    <cfRule type="cellIs" dxfId="41" priority="2" operator="equal">
      <formula>0</formula>
    </cfRule>
  </conditionalFormatting>
  <conditionalFormatting sqref="F19:F115">
    <cfRule type="cellIs" dxfId="40" priority="1" stopIfTrue="1" operator="greaterThan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62" orientation="portrait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3"/>
  <dimension ref="A1:E164"/>
  <sheetViews>
    <sheetView topLeftCell="A121" zoomScaleSheetLayoutView="100" workbookViewId="0">
      <selection activeCell="D134" sqref="D134"/>
    </sheetView>
  </sheetViews>
  <sheetFormatPr baseColWidth="10" defaultColWidth="11.453125" defaultRowHeight="14.5"/>
  <cols>
    <col min="1" max="1" width="70.1796875" style="170" customWidth="1"/>
    <col min="2" max="2" width="11.54296875" style="170" bestFit="1" customWidth="1"/>
    <col min="3" max="3" width="11.453125" style="170" customWidth="1"/>
    <col min="4" max="4" width="24.1796875" style="173" bestFit="1" customWidth="1"/>
    <col min="5" max="5" width="15.7265625" style="173" customWidth="1"/>
    <col min="6" max="7" width="16.453125" style="170" bestFit="1" customWidth="1"/>
    <col min="8" max="16384" width="11.453125" style="170"/>
  </cols>
  <sheetData>
    <row r="1" spans="1:5" ht="25.5" customHeight="1">
      <c r="B1" s="171" t="s">
        <v>3</v>
      </c>
      <c r="C1" s="171"/>
      <c r="D1" s="172"/>
    </row>
    <row r="2" spans="1:5" ht="21" customHeight="1">
      <c r="B2" s="174" t="s">
        <v>248</v>
      </c>
      <c r="C2" s="174"/>
      <c r="D2" s="175"/>
    </row>
    <row r="3" spans="1:5" ht="18.75" customHeight="1">
      <c r="B3" s="176" t="s">
        <v>249</v>
      </c>
      <c r="C3" s="176"/>
      <c r="D3" s="177"/>
    </row>
    <row r="4" spans="1:5" ht="18.75" customHeight="1" thickBot="1">
      <c r="B4" s="178" t="s">
        <v>250</v>
      </c>
      <c r="C4" s="178"/>
      <c r="D4" s="179"/>
    </row>
    <row r="5" spans="1:5" ht="19" thickBot="1">
      <c r="A5" s="180"/>
      <c r="B5" s="993" t="s">
        <v>251</v>
      </c>
      <c r="C5" s="994"/>
      <c r="D5" s="994"/>
    </row>
    <row r="6" spans="1:5" ht="16.5" thickTop="1" thickBot="1">
      <c r="A6" s="181" t="s">
        <v>252</v>
      </c>
      <c r="B6" s="182" t="s">
        <v>253</v>
      </c>
      <c r="C6" s="183" t="s">
        <v>254</v>
      </c>
      <c r="D6" s="184" t="s">
        <v>255</v>
      </c>
      <c r="E6" s="185" t="s">
        <v>256</v>
      </c>
    </row>
    <row r="7" spans="1:5" ht="16" thickTop="1">
      <c r="A7" s="186" t="str">
        <f>+[20]Julio!A7</f>
        <v>CARGO POR  CONEXIÓN</v>
      </c>
      <c r="B7" s="187"/>
      <c r="C7" s="187"/>
      <c r="D7" s="188"/>
      <c r="E7" s="189"/>
    </row>
    <row r="8" spans="1:5" ht="15.5">
      <c r="A8" s="190" t="str">
        <f>+[20]Julio!A8</f>
        <v>CXS34.5 Barra Sencilla</v>
      </c>
      <c r="B8" s="191">
        <f>+[20]Julio!B8</f>
        <v>2</v>
      </c>
      <c r="C8" s="191">
        <f>+[20]Julio!C8</f>
        <v>28.42</v>
      </c>
      <c r="E8" s="192">
        <f>+[20]Julio!D8+[20]Agosto!D8+[20]Septiembre!D8+[20]Octubre!D8+[20]Noviembre!D8+[20]Diciembre!D8</f>
        <v>28420.019999999997</v>
      </c>
    </row>
    <row r="9" spans="1:5" ht="15.5">
      <c r="A9" s="190" t="str">
        <f>+[20]Julio!A9</f>
        <v>CXS34.5 Interruptor y Medio</v>
      </c>
      <c r="B9" s="191">
        <f>+[20]Julio!B9</f>
        <v>6</v>
      </c>
      <c r="C9" s="191">
        <f>+[20]Julio!C9</f>
        <v>46.46</v>
      </c>
      <c r="E9" s="192">
        <f>+[20]Julio!D9+[20]Agosto!D9+[20]Septiembre!D9+[20]Octubre!D9+[20]Noviembre!D9+[20]Diciembre!D9</f>
        <v>139380</v>
      </c>
    </row>
    <row r="10" spans="1:5" ht="15.5">
      <c r="A10" s="190" t="str">
        <f>+[20]Julio!A10</f>
        <v>CXS115 Interruptor y Medio</v>
      </c>
      <c r="B10" s="191">
        <f>+[20]Julio!B10</f>
        <v>4</v>
      </c>
      <c r="C10" s="191">
        <f>+[20]Julio!C10</f>
        <v>106.78</v>
      </c>
      <c r="E10" s="192">
        <f>+[20]Julio!D10+[20]Agosto!D10+[20]Septiembre!D10+[20]Octubre!D10+[20]Noviembre!D10+[20]Diciembre!D10</f>
        <v>213559.98000000004</v>
      </c>
    </row>
    <row r="11" spans="1:5" ht="15.5">
      <c r="A11" s="190" t="str">
        <f>+[20]Julio!A11</f>
        <v>CXS230 Interruptor y Medio</v>
      </c>
      <c r="B11" s="191">
        <f>+[20]Julio!B11</f>
        <v>2</v>
      </c>
      <c r="C11" s="191">
        <f>+[20]Julio!C11</f>
        <v>156.07</v>
      </c>
      <c r="E11" s="192">
        <f>+[20]Julio!D11+[20]Agosto!D11+[20]Septiembre!D11+[20]Octubre!D11+[20]Noviembre!D11+[20]Diciembre!D11</f>
        <v>156070.01999999999</v>
      </c>
    </row>
    <row r="12" spans="1:5" ht="15.5">
      <c r="A12" s="190" t="str">
        <f>+[20]Julio!A12</f>
        <v>CXTR Reductor 42/56/70 MVA</v>
      </c>
      <c r="B12" s="191">
        <f>+[20]Julio!B12</f>
        <v>140</v>
      </c>
      <c r="C12" s="191">
        <f>+[20]Julio!C12</f>
        <v>4.3600000000000003</v>
      </c>
      <c r="E12" s="192">
        <f>+[20]Julio!D12+[20]Agosto!D12+[20]Septiembre!D12+[20]Octubre!D12+[20]Noviembre!D12+[20]Diciembre!D12</f>
        <v>305200.01999999996</v>
      </c>
    </row>
    <row r="13" spans="1:5" ht="15.5">
      <c r="A13" s="190" t="str">
        <f>+[20]Julio!A13</f>
        <v>CXTR Reductor 30/40/50 MVA</v>
      </c>
      <c r="B13" s="191">
        <f>+[20]Julio!B13</f>
        <v>100</v>
      </c>
      <c r="C13" s="191">
        <f>+[20]Julio!C13</f>
        <v>4.3499999999999996</v>
      </c>
      <c r="E13" s="192">
        <f>+[20]Julio!D13+[20]Agosto!D13+[20]Septiembre!D13+[20]Octubre!D13+[20]Noviembre!D13+[20]Diciembre!D13</f>
        <v>108750</v>
      </c>
    </row>
    <row r="14" spans="1:5" ht="15.5">
      <c r="A14" s="190" t="str">
        <f>+[20]Julio!A14</f>
        <v>CXTR Reductor 60/80/100 MVA</v>
      </c>
      <c r="B14" s="191">
        <f>+[20]Julio!B14</f>
        <v>0</v>
      </c>
      <c r="C14" s="191">
        <f>+[20]Julio!C14</f>
        <v>0</v>
      </c>
      <c r="E14" s="192">
        <f>+[20]Julio!D14+[20]Agosto!D14+[20]Septiembre!D14+[20]Octubre!D14+[20]Noviembre!D14+[20]Diciembre!D14</f>
        <v>710000</v>
      </c>
    </row>
    <row r="15" spans="1:5" ht="16" thickBot="1">
      <c r="A15" s="193" t="str">
        <f>+[20]Julio!A15</f>
        <v>1 IP - 230  KV</v>
      </c>
      <c r="B15" s="194">
        <f>+[20]Julio!B15</f>
        <v>1</v>
      </c>
      <c r="C15" s="194">
        <f>+[20]Julio!C15</f>
        <v>203.63</v>
      </c>
      <c r="E15" s="192">
        <f>+[20]Julio!D15+[20]Agosto!D15+[20]Septiembre!D15+[20]Octubre!D15+[20]Noviembre!D15+[20]Diciembre!D15</f>
        <v>101815.01999999999</v>
      </c>
    </row>
    <row r="16" spans="1:5" ht="16" thickTop="1">
      <c r="A16" s="195" t="str">
        <f>+[20]Julio!A16</f>
        <v xml:space="preserve">CARGO POR  OPERACIÓN INTEGRADA </v>
      </c>
      <c r="B16" s="196"/>
      <c r="C16" s="196"/>
      <c r="D16" s="197"/>
      <c r="E16" s="198"/>
    </row>
    <row r="17" spans="1:5" ht="15.5">
      <c r="A17" s="199" t="str">
        <f>+[20]Julio!A17</f>
        <v>EDEMET Agente Consumidor</v>
      </c>
      <c r="B17" s="200">
        <f>+[20]Julio!B17</f>
        <v>677.91</v>
      </c>
      <c r="C17" s="200">
        <f>+[20]Julio!C17</f>
        <v>0.25209999999999999</v>
      </c>
      <c r="D17" s="201">
        <f>+[20]Julio!D17+[20]Agosto!D17+[20]Septiembre!D17+[20]Octubre!D17+[20]Noviembre!D17+[20]Diciembre!D17</f>
        <v>1025406.6599999999</v>
      </c>
      <c r="E17" s="202"/>
    </row>
    <row r="18" spans="1:5" ht="16" thickBot="1">
      <c r="A18" s="203" t="str">
        <f>+[20]Julio!A20</f>
        <v>ELEKTRA NORESTE, S.A. (ENSA)</v>
      </c>
      <c r="B18" s="182" t="s">
        <v>253</v>
      </c>
      <c r="C18" s="183" t="s">
        <v>254</v>
      </c>
      <c r="D18" s="184"/>
      <c r="E18" s="204"/>
    </row>
    <row r="19" spans="1:5" ht="16" thickTop="1">
      <c r="A19" s="205" t="str">
        <f>+[20]Julio!A21</f>
        <v>CARGO POR  CONEXIÓN</v>
      </c>
      <c r="B19" s="206"/>
      <c r="C19" s="206"/>
      <c r="D19" s="207"/>
      <c r="E19" s="208"/>
    </row>
    <row r="20" spans="1:5" ht="15.5">
      <c r="A20" s="209" t="str">
        <f>+[20]Julio!A22</f>
        <v xml:space="preserve">CARGO POR  OPERACIÓN INTEGRADA </v>
      </c>
      <c r="B20" s="210"/>
      <c r="C20" s="210"/>
      <c r="D20" s="211"/>
      <c r="E20" s="212"/>
    </row>
    <row r="21" spans="1:5" ht="16" thickBot="1">
      <c r="A21" s="213" t="str">
        <f>+[20]Julio!A23</f>
        <v>ELEKTRA_NE (Consumidor)</v>
      </c>
      <c r="B21" s="213">
        <f>+[20]Julio!B23</f>
        <v>511.98</v>
      </c>
      <c r="C21" s="213">
        <f>+[20]Julio!C23</f>
        <v>0.25209999999999999</v>
      </c>
      <c r="D21" s="214">
        <f>+[20]Julio!D23+[20]Agosto!D23+[20]Septiembre!D23+[20]Octubre!D23+[20]Noviembre!D23+[20]Diciembre!D23</f>
        <v>774420.96000000008</v>
      </c>
      <c r="E21" s="215"/>
    </row>
    <row r="22" spans="1:5" ht="16" thickTop="1">
      <c r="A22" s="216" t="s">
        <v>257</v>
      </c>
      <c r="B22" s="217" t="s">
        <v>253</v>
      </c>
      <c r="C22" s="218" t="s">
        <v>254</v>
      </c>
      <c r="D22" s="219"/>
      <c r="E22" s="220"/>
    </row>
    <row r="23" spans="1:5" ht="15.5">
      <c r="A23" s="221" t="str">
        <f>+[20]Julio!A27</f>
        <v>CARGO POR  CONEXIÓN</v>
      </c>
      <c r="B23" s="222"/>
      <c r="C23" s="223"/>
      <c r="D23" s="224"/>
      <c r="E23" s="225"/>
    </row>
    <row r="24" spans="1:5" ht="15.5">
      <c r="A24" s="226" t="str">
        <f>+[20]Julio!A28</f>
        <v>CXS34.5 Interruptor y Medio</v>
      </c>
      <c r="B24" s="227">
        <f>+[20]Julio!B28</f>
        <v>8</v>
      </c>
      <c r="C24" s="227">
        <f>+[20]Julio!C28</f>
        <v>46.46</v>
      </c>
      <c r="E24" s="192">
        <f>+[20]Julio!D28+[20]Agosto!D28+[20]Septiembre!D28+[20]Octubre!D28+[20]Noviembre!D28+[20]Diciembre!D28</f>
        <v>185839.98000000004</v>
      </c>
    </row>
    <row r="25" spans="1:5" ht="15.5">
      <c r="A25" s="226" t="str">
        <f>+[20]Julio!A29</f>
        <v>CXS115 Barra Sencilla</v>
      </c>
      <c r="B25" s="227">
        <f>+[20]Julio!B29</f>
        <v>2</v>
      </c>
      <c r="C25" s="227">
        <f>+[20]Julio!C29</f>
        <v>73.760000000000005</v>
      </c>
      <c r="E25" s="192">
        <f>+[20]Julio!D29+[20]Agosto!D29+[20]Septiembre!D29+[20]Octubre!D29+[20]Noviembre!D29+[20]Diciembre!D29</f>
        <v>2667.48</v>
      </c>
    </row>
    <row r="26" spans="1:5" ht="15.5">
      <c r="A26" s="226" t="str">
        <f>+[20]Julio!A30</f>
        <v>CXL 115 KV Circuito Sencillo 636 ACSR</v>
      </c>
      <c r="B26" s="227">
        <f>+[20]Julio!B30</f>
        <v>0.5</v>
      </c>
      <c r="C26" s="227">
        <f>+[20]Julio!C30</f>
        <v>10.67</v>
      </c>
      <c r="E26" s="192">
        <f>+[20]Julio!D30+[20]Agosto!D30+[20]Septiembre!D30+[20]Octubre!D30+[20]Noviembre!D30+[20]Diciembre!D30</f>
        <v>73759.98</v>
      </c>
    </row>
    <row r="27" spans="1:5" ht="15.5">
      <c r="A27" s="226" t="str">
        <f>+[20]Julio!A31</f>
        <v>CXTR Reductor 20/24 MVA</v>
      </c>
      <c r="B27" s="227">
        <f>+[20]Julio!B31</f>
        <v>9.5928000000000004</v>
      </c>
      <c r="C27" s="227">
        <f>+[20]Julio!C31</f>
        <v>4.05</v>
      </c>
      <c r="E27" s="192">
        <f>+[20]Julio!D31+[20]Agosto!D31+[20]Septiembre!D31+[20]Octubre!D31+[20]Noviembre!D31+[20]Diciembre!D31</f>
        <v>19425.420000000002</v>
      </c>
    </row>
    <row r="28" spans="1:5" ht="15.5">
      <c r="A28" s="226" t="str">
        <f>+[20]Julio!A32</f>
        <v>CXL 115 KV Circuito Sencillo 636 ACSR</v>
      </c>
      <c r="B28" s="227">
        <f>+[20]Julio!B32</f>
        <v>3.0960000000000001</v>
      </c>
      <c r="C28" s="227">
        <f>+[20]Julio!C32</f>
        <v>10.67</v>
      </c>
      <c r="E28" s="228">
        <f>+[20]Julio!D32+[20]Agosto!D32+[20]Septiembre!D32+[20]Octubre!D32+[20]Noviembre!D32+[20]Diciembre!D32</f>
        <v>16517.16</v>
      </c>
    </row>
    <row r="29" spans="1:5" ht="15.5">
      <c r="A29" s="229" t="str">
        <f>+[20]Julio!A33</f>
        <v xml:space="preserve">CARGO POR  OPERACIÓN INTEGRADA </v>
      </c>
      <c r="B29" s="230"/>
      <c r="C29" s="230"/>
      <c r="D29" s="231"/>
      <c r="E29" s="231"/>
    </row>
    <row r="30" spans="1:5" ht="15.5">
      <c r="A30" s="226" t="str">
        <f>+[20]Julio!A34</f>
        <v>EDECHI Agente Consumidor</v>
      </c>
      <c r="B30" s="227">
        <f>+[20]Julio!B34</f>
        <v>110.84</v>
      </c>
      <c r="C30" s="227">
        <f>+[20]Julio!C34</f>
        <v>0.25209999999999999</v>
      </c>
      <c r="D30" s="232">
        <f>+[20]Julio!D34+[20]Agosto!D34+[20]Septiembre!D34+[20]Octubre!D34+[20]Noviembre!D34+[20]Diciembre!D34</f>
        <v>167656.56</v>
      </c>
      <c r="E30" s="233"/>
    </row>
    <row r="31" spans="1:5" ht="15.5">
      <c r="A31" s="226" t="str">
        <f>+[20]Julio!A35</f>
        <v xml:space="preserve">   -  Zona 10 (S/E Cañazas)</v>
      </c>
      <c r="B31" s="227">
        <f>+[20]Julio!B35</f>
        <v>21.5</v>
      </c>
      <c r="C31" s="227">
        <f>+[20]Julio!C35</f>
        <v>0.25209999999999999</v>
      </c>
      <c r="D31" s="232">
        <f>+[20]Julio!D35+[20]Agosto!D35+[20]Septiembre!D35+[20]Octubre!D35+[20]Noviembre!D35+[20]Diciembre!D35</f>
        <v>32520.9</v>
      </c>
      <c r="E31" s="234"/>
    </row>
    <row r="32" spans="1:5" ht="15.5">
      <c r="A32" s="226"/>
      <c r="B32" s="227"/>
      <c r="C32" s="227"/>
      <c r="D32" s="232"/>
      <c r="E32" s="235"/>
    </row>
    <row r="33" spans="1:5" ht="15.5">
      <c r="A33" s="391" t="s">
        <v>258</v>
      </c>
      <c r="B33" s="392"/>
      <c r="C33" s="392"/>
      <c r="D33" s="392"/>
      <c r="E33" s="393"/>
    </row>
    <row r="34" spans="1:5" ht="16" thickBot="1">
      <c r="A34" s="203" t="s">
        <v>259</v>
      </c>
      <c r="B34" s="182" t="s">
        <v>253</v>
      </c>
      <c r="C34" s="183" t="s">
        <v>254</v>
      </c>
      <c r="D34" s="184"/>
      <c r="E34" s="185"/>
    </row>
    <row r="35" spans="1:5" ht="16" thickTop="1">
      <c r="A35" s="226" t="str">
        <f>+[20]Julio!A40</f>
        <v xml:space="preserve">CARGO POR  OPERACIÓN INTEGRADA </v>
      </c>
      <c r="B35" s="227"/>
      <c r="C35" s="227"/>
      <c r="D35" s="232"/>
      <c r="E35" s="234"/>
    </row>
    <row r="36" spans="1:5" ht="15.5">
      <c r="A36" s="226" t="str">
        <f>+[20]Julio!A41</f>
        <v>Fortuna (Generador)</v>
      </c>
      <c r="B36" s="227">
        <f>+[20]Julio!B41</f>
        <v>300</v>
      </c>
      <c r="C36" s="227">
        <f>+[20]Julio!C41</f>
        <v>0.1681</v>
      </c>
      <c r="D36" s="232">
        <f>+[20]Julio!D41+[20]Agosto!D41+[20]Septiembre!D41+[20]Octubre!D41+[20]Noviembre!D41+[20]Diciembre!D41</f>
        <v>302580</v>
      </c>
      <c r="E36" s="234"/>
    </row>
    <row r="37" spans="1:5" ht="16" thickBot="1">
      <c r="A37" s="226"/>
      <c r="B37" s="227"/>
      <c r="C37" s="227"/>
      <c r="D37" s="232"/>
      <c r="E37" s="234"/>
    </row>
    <row r="38" spans="1:5" ht="16.5" thickTop="1" thickBot="1">
      <c r="A38" s="181" t="s">
        <v>260</v>
      </c>
      <c r="B38" s="236" t="s">
        <v>253</v>
      </c>
      <c r="C38" s="237" t="s">
        <v>254</v>
      </c>
      <c r="D38" s="238"/>
      <c r="E38" s="239"/>
    </row>
    <row r="39" spans="1:5" ht="16" thickTop="1">
      <c r="A39" s="226" t="str">
        <f>+[20]Julio!A45</f>
        <v xml:space="preserve">CARGO POR  CONEXIÓN </v>
      </c>
      <c r="B39" s="227">
        <f>+[20]Julio!B45</f>
        <v>0</v>
      </c>
      <c r="C39" s="227" t="str">
        <f>+[20]Julio!C45</f>
        <v xml:space="preserve"> </v>
      </c>
      <c r="D39" s="232"/>
      <c r="E39" s="234"/>
    </row>
    <row r="40" spans="1:5" ht="15.5">
      <c r="A40" s="226" t="str">
        <f>+[20]Julio!A46</f>
        <v>CXL 115 KV Circuito Sencillo L/T Caldera-LA ESTRELLA</v>
      </c>
      <c r="B40" s="227">
        <f>+[20]Julio!B46</f>
        <v>5.8</v>
      </c>
      <c r="C40" s="227">
        <f>+[20]Julio!C46</f>
        <v>10.67</v>
      </c>
      <c r="E40" s="192">
        <f>+[20]Julio!D46+[20]Agosto!D46+[20]Septiembre!D46+[20]Octubre!D46+[20]Noviembre!D46+[20]Diciembre!D46</f>
        <v>30943.019999999997</v>
      </c>
    </row>
    <row r="41" spans="1:5" ht="15.5">
      <c r="A41" s="226" t="str">
        <f>+[20]Julio!A47</f>
        <v>CXL 115 KV Circuito Sencillo L/T Caldera-LOS VALLES</v>
      </c>
      <c r="B41" s="227">
        <f>+[20]Julio!B47</f>
        <v>2</v>
      </c>
      <c r="C41" s="227">
        <f>+[20]Julio!C47</f>
        <v>10.67</v>
      </c>
      <c r="E41" s="192">
        <f>+[20]Julio!D47+[20]Agosto!D47+[20]Septiembre!D47+[20]Octubre!D47+[20]Noviembre!D47+[20]Diciembre!D47</f>
        <v>10669.98</v>
      </c>
    </row>
    <row r="42" spans="1:5" ht="15.5">
      <c r="A42" s="226" t="str">
        <f>+[20]Julio!A48</f>
        <v xml:space="preserve">CARGO POR  OPERACIÓN INTEGRADA </v>
      </c>
      <c r="B42" s="227"/>
      <c r="C42" s="227"/>
      <c r="E42" s="192"/>
    </row>
    <row r="43" spans="1:5" ht="15.5">
      <c r="A43" s="226" t="str">
        <f>+[20]Julio!A49</f>
        <v xml:space="preserve">   AES- Generador</v>
      </c>
      <c r="B43" s="227">
        <f>+[20]Julio!B49</f>
        <v>481.96</v>
      </c>
      <c r="C43" s="227">
        <f>+[20]Julio!C49</f>
        <v>0.1681</v>
      </c>
      <c r="D43" s="192">
        <v>486104.87999999995</v>
      </c>
      <c r="E43" s="192"/>
    </row>
    <row r="44" spans="1:5" ht="15.5">
      <c r="A44" s="226" t="str">
        <f>+[20]Julio!A50</f>
        <v xml:space="preserve">   AES - CEMENTO PANAMA - Consumidor   (Gran Cliente - CPSA)</v>
      </c>
      <c r="B44" s="227">
        <f>+[20]Julio!B50</f>
        <v>8.25</v>
      </c>
      <c r="C44" s="227">
        <f>+[20]Julio!C50</f>
        <v>0.25209999999999999</v>
      </c>
      <c r="D44" s="192">
        <v>12478.98</v>
      </c>
      <c r="E44" s="192"/>
    </row>
    <row r="45" spans="1:5" ht="15.5">
      <c r="A45" s="226" t="str">
        <f>+[20]Julio!A51</f>
        <v xml:space="preserve">   AES - BOFCO - Consumidor   (Gran Cliente)</v>
      </c>
      <c r="B45" s="227">
        <f>+[20]Julio!B51</f>
        <v>13.39</v>
      </c>
      <c r="C45" s="227">
        <f>+[20]Julio!C51</f>
        <v>0.25209999999999999</v>
      </c>
      <c r="D45" s="192">
        <v>20253.719999999998</v>
      </c>
      <c r="E45" s="192"/>
    </row>
    <row r="46" spans="1:5" ht="16" thickBot="1">
      <c r="A46" s="226"/>
      <c r="B46" s="227"/>
      <c r="C46" s="227"/>
      <c r="D46" s="232"/>
      <c r="E46" s="234"/>
    </row>
    <row r="47" spans="1:5" ht="16.5" thickTop="1" thickBot="1">
      <c r="A47" s="181" t="s">
        <v>261</v>
      </c>
      <c r="B47" s="236" t="s">
        <v>253</v>
      </c>
      <c r="C47" s="237" t="s">
        <v>254</v>
      </c>
      <c r="D47" s="238"/>
      <c r="E47" s="239"/>
    </row>
    <row r="48" spans="1:5" ht="16" thickTop="1">
      <c r="A48" s="226" t="str">
        <f>+[20]Julio!A55</f>
        <v xml:space="preserve">CARGO POR  CONEXIÓN </v>
      </c>
      <c r="B48" s="227"/>
      <c r="C48" s="227"/>
      <c r="D48" s="232"/>
      <c r="E48" s="234"/>
    </row>
    <row r="49" spans="1:5" ht="15.5">
      <c r="A49" s="226" t="str">
        <f>+[20]Julio!A56</f>
        <v xml:space="preserve">CARGO POR  OPERACIÓN INTEGRADA </v>
      </c>
      <c r="B49" s="227"/>
      <c r="C49" s="227"/>
      <c r="D49" s="232"/>
      <c r="E49" s="234"/>
    </row>
    <row r="50" spans="1:5" ht="15.5">
      <c r="A50" s="226" t="str">
        <f>+[20]Julio!A57</f>
        <v>Bahía Las Minas (Generador)</v>
      </c>
      <c r="B50" s="227">
        <f>+[20]Julio!B57</f>
        <v>280</v>
      </c>
      <c r="C50" s="227">
        <f>+[20]Julio!C57</f>
        <v>0.1681</v>
      </c>
      <c r="D50" s="232">
        <f>+[20]Julio!D57+[20]Agosto!D57+[20]Septiembre!D57+[20]Octubre!D57+[20]Noviembre!D57+[20]Diciembre!D57</f>
        <v>282408</v>
      </c>
      <c r="E50" s="234"/>
    </row>
    <row r="51" spans="1:5" ht="16" thickBot="1">
      <c r="A51" s="226"/>
      <c r="B51" s="227"/>
      <c r="C51" s="227"/>
      <c r="D51" s="232"/>
      <c r="E51" s="234"/>
    </row>
    <row r="52" spans="1:5" ht="16.5" thickTop="1" thickBot="1">
      <c r="A52" s="181" t="s">
        <v>262</v>
      </c>
      <c r="B52" s="236" t="s">
        <v>253</v>
      </c>
      <c r="C52" s="237" t="s">
        <v>254</v>
      </c>
      <c r="D52" s="238"/>
      <c r="E52" s="239"/>
    </row>
    <row r="53" spans="1:5" ht="16" thickTop="1">
      <c r="A53" s="226" t="str">
        <f>+[20]Julio!A61</f>
        <v>CARGO POR  CONEXIÓN</v>
      </c>
      <c r="B53" s="227"/>
      <c r="C53" s="227"/>
      <c r="D53" s="232"/>
      <c r="E53" s="234"/>
    </row>
    <row r="54" spans="1:5" ht="15.5">
      <c r="A54" s="226" t="str">
        <f>+[20]Julio!A62</f>
        <v xml:space="preserve">CARGO POR  OPERACIÓN INTEGRADA </v>
      </c>
      <c r="B54" s="227"/>
      <c r="C54" s="227"/>
      <c r="D54" s="232"/>
      <c r="E54" s="234"/>
    </row>
    <row r="55" spans="1:5" ht="15.5">
      <c r="A55" s="226" t="str">
        <f>+[20]Julio!A63</f>
        <v>Pan_Am (Generador)</v>
      </c>
      <c r="B55" s="227">
        <f>+[20]Julio!B63</f>
        <v>96</v>
      </c>
      <c r="C55" s="227">
        <f>+[20]Julio!C63</f>
        <v>0.1681</v>
      </c>
      <c r="D55" s="232">
        <f>+[20]Julio!D63+[20]Agosto!D63+[20]Septiembre!D63+[20]Octubre!D63+[20]Noviembre!D63+[20]Diciembre!D63</f>
        <v>96825.600000000006</v>
      </c>
      <c r="E55" s="234"/>
    </row>
    <row r="56" spans="1:5" ht="16" thickBot="1">
      <c r="A56" s="226"/>
      <c r="B56" s="227"/>
      <c r="C56" s="227"/>
      <c r="D56" s="232"/>
      <c r="E56" s="234"/>
    </row>
    <row r="57" spans="1:5" ht="16.5" thickTop="1" thickBot="1">
      <c r="A57" s="181" t="s">
        <v>263</v>
      </c>
      <c r="B57" s="236" t="s">
        <v>253</v>
      </c>
      <c r="C57" s="237" t="s">
        <v>254</v>
      </c>
      <c r="D57" s="240"/>
      <c r="E57" s="239"/>
    </row>
    <row r="58" spans="1:5" ht="16" thickTop="1">
      <c r="A58" s="226" t="str">
        <f>+[20]Julio!A67</f>
        <v>CARGO POR  CONEXIÓN</v>
      </c>
      <c r="B58" s="227"/>
      <c r="C58" s="227"/>
      <c r="D58" s="232"/>
      <c r="E58" s="234"/>
    </row>
    <row r="59" spans="1:5" ht="15.5">
      <c r="A59" s="226" t="str">
        <f>+[20]Julio!A68</f>
        <v xml:space="preserve">CARGO POR  OPERACIÓN INTEGRADA </v>
      </c>
      <c r="B59" s="227">
        <f>+[20]Julio!B68</f>
        <v>127</v>
      </c>
      <c r="C59" s="227">
        <f>+[20]Julio!C68</f>
        <v>0.1681</v>
      </c>
      <c r="D59" s="232">
        <f>+[20]Julio!D68+[20]Agosto!D68+[20]Septiembre!D68+[20]Octubre!D68+[20]Noviembre!D68+[20]Diciembre!D68</f>
        <v>128092.2</v>
      </c>
      <c r="E59" s="234"/>
    </row>
    <row r="60" spans="1:5" ht="16" thickBot="1">
      <c r="A60" s="226"/>
      <c r="B60" s="227"/>
      <c r="C60" s="227"/>
      <c r="D60" s="232"/>
      <c r="E60" s="234"/>
    </row>
    <row r="61" spans="1:5" ht="16.5" thickTop="1" thickBot="1">
      <c r="A61" s="181" t="str">
        <f>+[20]Julio!A71</f>
        <v>PEDREGAL POWER Co. (PEDREGAL)</v>
      </c>
      <c r="B61" s="236" t="str">
        <f>+[20]Julio!B71</f>
        <v>Cantidad</v>
      </c>
      <c r="C61" s="237" t="str">
        <f>+[20]Julio!C71</f>
        <v xml:space="preserve">Cargos </v>
      </c>
      <c r="D61" s="238"/>
      <c r="E61" s="239"/>
    </row>
    <row r="62" spans="1:5" ht="16" thickTop="1">
      <c r="A62" s="226" t="str">
        <f>+[20]Julio!A72</f>
        <v>CARGO POR  CONEXIÓN</v>
      </c>
      <c r="B62" s="227"/>
      <c r="C62" s="227"/>
      <c r="D62" s="232"/>
      <c r="E62" s="234">
        <v>0</v>
      </c>
    </row>
    <row r="63" spans="1:5" ht="15.5">
      <c r="A63" s="226" t="str">
        <f>+[20]Julio!A73</f>
        <v xml:space="preserve">CARGO POR  OPERACIÓN INTEGRADA </v>
      </c>
      <c r="B63" s="227"/>
      <c r="C63" s="227"/>
      <c r="D63" s="232"/>
      <c r="E63" s="234"/>
    </row>
    <row r="64" spans="1:5" ht="15.5">
      <c r="A64" s="226" t="str">
        <f>+[20]Julio!A74</f>
        <v>Pedregal Power Co. (Generador)</v>
      </c>
      <c r="B64" s="227">
        <f>+[20]Julio!B74</f>
        <v>53.53</v>
      </c>
      <c r="C64" s="227">
        <f>+[20]Julio!C74</f>
        <v>0.1681</v>
      </c>
      <c r="D64" s="232">
        <f>+[20]Julio!D74+[20]Agosto!D74+[20]Septiembre!D74+[20]Octubre!D74+[20]Noviembre!D74+[20]Diciembre!D74</f>
        <v>53990.34</v>
      </c>
      <c r="E64" s="234"/>
    </row>
    <row r="65" spans="1:5" ht="15.5">
      <c r="A65" s="226"/>
      <c r="B65" s="227"/>
      <c r="C65" s="227"/>
      <c r="D65" s="232"/>
      <c r="E65" s="234"/>
    </row>
    <row r="66" spans="1:5" ht="16" thickBot="1">
      <c r="A66" s="203" t="str">
        <f>+[20]Julio!A77</f>
        <v>EMPRESA DE GENERACIÓN ELÉCTRICA, S.A. (EGESA)</v>
      </c>
      <c r="B66" s="182" t="str">
        <f>+[20]Julio!B77</f>
        <v>Cantidad</v>
      </c>
      <c r="C66" s="183" t="str">
        <f>+[20]Julio!C77</f>
        <v xml:space="preserve">Cargos </v>
      </c>
      <c r="D66" s="184"/>
      <c r="E66" s="204"/>
    </row>
    <row r="67" spans="1:5" ht="16" thickTop="1">
      <c r="A67" s="226" t="str">
        <f>+[20]Julio!A78</f>
        <v xml:space="preserve">CARGO POR  CONEXIÓN  </v>
      </c>
      <c r="B67" s="227"/>
      <c r="C67" s="227"/>
      <c r="E67" s="192">
        <f>+[20]Julio!D78+[20]Agosto!D78+[20]Septiembre!D78+[20]Octubre!D78+[20]Noviembre!D78+[20]Diciembre!D78</f>
        <v>0</v>
      </c>
    </row>
    <row r="68" spans="1:5" ht="15.5">
      <c r="A68" s="226" t="str">
        <f>+[20]Julio!A79</f>
        <v xml:space="preserve">CARGO POR  OPERACIÓN INTEGRADA </v>
      </c>
      <c r="B68" s="227"/>
      <c r="C68" s="227"/>
      <c r="D68" s="232"/>
      <c r="E68" s="234"/>
    </row>
    <row r="69" spans="1:5" ht="15.5">
      <c r="A69" s="226" t="str">
        <f>+[20]Julio!A80</f>
        <v xml:space="preserve">  EGESA (Generador)</v>
      </c>
      <c r="B69" s="227">
        <f>+[20]Julio!B80</f>
        <v>40</v>
      </c>
      <c r="C69" s="227">
        <f>+[20]Julio!C80</f>
        <v>0.1681</v>
      </c>
      <c r="D69" s="232">
        <f>+[20]Julio!D80+[20]Agosto!D80+[20]Septiembre!D80+[20]Octubre!D80+[20]Noviembre!D80+[20]Diciembre!D80</f>
        <v>40344</v>
      </c>
      <c r="E69" s="234"/>
    </row>
    <row r="70" spans="1:5" ht="15.5">
      <c r="A70" s="226"/>
      <c r="B70" s="227"/>
      <c r="C70" s="227"/>
      <c r="D70" s="232"/>
      <c r="E70" s="234"/>
    </row>
    <row r="71" spans="1:5" ht="16" thickBot="1">
      <c r="A71" s="203" t="str">
        <f>+[20]Julio!A83</f>
        <v>TERMICA DEL CARIBE, S.A. (TERCARIBE)</v>
      </c>
      <c r="B71" s="182" t="str">
        <f>+[20]Julio!B83</f>
        <v>Cantidad</v>
      </c>
      <c r="C71" s="183" t="str">
        <f>+[20]Julio!C83</f>
        <v xml:space="preserve">Cargos </v>
      </c>
      <c r="D71" s="184"/>
      <c r="E71" s="204"/>
    </row>
    <row r="72" spans="1:5" ht="16" thickTop="1">
      <c r="A72" s="226" t="str">
        <f>+[20]Julio!A84</f>
        <v xml:space="preserve">CARGO POR  CONEXIÓN </v>
      </c>
      <c r="B72" s="227"/>
      <c r="C72" s="227"/>
      <c r="E72" s="192">
        <f>+[20]Julio!D84+[20]Agosto!D84+[20]Septiembre!D84+[20]Octubre!D84+[20]Noviembre!D84+[20]Diciembre!D84</f>
        <v>0</v>
      </c>
    </row>
    <row r="73" spans="1:5" ht="15.5">
      <c r="A73" s="226" t="str">
        <f>+[20]Julio!A85</f>
        <v xml:space="preserve">CARGO POR  OPERACIÓN INTEGRADA </v>
      </c>
      <c r="B73" s="227"/>
      <c r="C73" s="227"/>
      <c r="D73" s="232"/>
      <c r="E73" s="234"/>
    </row>
    <row r="74" spans="1:5" ht="15.5">
      <c r="A74" s="226" t="str">
        <f>+[20]Julio!A86</f>
        <v xml:space="preserve">  TERCARIBE (Generador)</v>
      </c>
      <c r="B74" s="227">
        <f>+[20]Julio!B86</f>
        <v>50.35</v>
      </c>
      <c r="C74" s="227">
        <f>+[20]Julio!C86</f>
        <v>0.1681</v>
      </c>
      <c r="D74" s="232">
        <f>+[20]Julio!D86+[20]Agosto!D86+[20]Septiembre!D86+[20]Octubre!D85+[20]Noviembre!D86+[20]Diciembre!D86</f>
        <v>50783.039999999994</v>
      </c>
      <c r="E74" s="234"/>
    </row>
    <row r="75" spans="1:5" ht="15.5">
      <c r="A75" s="226"/>
      <c r="B75" s="227"/>
      <c r="C75" s="227"/>
      <c r="D75" s="232"/>
      <c r="E75" s="234"/>
    </row>
    <row r="76" spans="1:5" ht="16" thickBot="1">
      <c r="A76" s="203" t="str">
        <f>+[20]Julio!A89</f>
        <v>GENERADORA DEL ATLÁNTICO (GENA)</v>
      </c>
      <c r="B76" s="182" t="str">
        <f>+[20]Julio!B89</f>
        <v>Cantidad</v>
      </c>
      <c r="C76" s="183" t="str">
        <f>+[20]Julio!C89</f>
        <v xml:space="preserve">Cargos </v>
      </c>
      <c r="D76" s="184"/>
      <c r="E76" s="204"/>
    </row>
    <row r="77" spans="1:5" ht="16" thickTop="1">
      <c r="A77" s="226" t="str">
        <f>+[20]Julio!A90</f>
        <v xml:space="preserve">CARGO POR  CONEXIÓN </v>
      </c>
      <c r="B77" s="227"/>
      <c r="C77" s="227"/>
      <c r="E77" s="192">
        <f>+[20]Julio!D90+[20]Agosto!D90+[20]Septiembre!D90+[20]Octubre!D90+[20]Noviembre!D90+[20]Diciembre!D90</f>
        <v>0</v>
      </c>
    </row>
    <row r="78" spans="1:5" ht="15.5">
      <c r="A78" s="226" t="str">
        <f>+[20]Julio!A91</f>
        <v xml:space="preserve">CARGO POR  OPERACIÓN INTEGRADA </v>
      </c>
      <c r="B78" s="227"/>
      <c r="C78" s="227"/>
      <c r="D78" s="232"/>
      <c r="E78" s="234"/>
    </row>
    <row r="79" spans="1:5" ht="15.5">
      <c r="A79" s="226" t="str">
        <f>+[20]Julio!A92</f>
        <v xml:space="preserve">  GENA (Generador)</v>
      </c>
      <c r="B79" s="227">
        <f>+[20]Julio!B92</f>
        <v>150</v>
      </c>
      <c r="C79" s="227">
        <f>+[20]Julio!C92</f>
        <v>0.1681</v>
      </c>
      <c r="D79" s="232">
        <f>+[20]Julio!D92+[20]Agosto!D92+[20]Septiembre!D92+[20]Octubre!D92+[20]Noviembre!D92+[20]Diciembre!D92</f>
        <v>151290</v>
      </c>
      <c r="E79" s="234"/>
    </row>
    <row r="80" spans="1:5" ht="15.5">
      <c r="A80" s="226"/>
      <c r="B80" s="227"/>
      <c r="C80" s="227"/>
      <c r="D80" s="232"/>
      <c r="E80" s="234"/>
    </row>
    <row r="81" spans="1:5" ht="16" thickBot="1">
      <c r="A81" s="203" t="str">
        <f>+[20]Julio!A95</f>
        <v>CALDERA ENERGY CORP. (MENDRE)</v>
      </c>
      <c r="B81" s="182" t="str">
        <f>+[20]Julio!B95</f>
        <v>Cantidad</v>
      </c>
      <c r="C81" s="183" t="str">
        <f>+[20]Julio!C95</f>
        <v xml:space="preserve">Cargos </v>
      </c>
      <c r="D81" s="184"/>
      <c r="E81" s="204"/>
    </row>
    <row r="82" spans="1:5" ht="16" thickTop="1">
      <c r="A82" s="226" t="str">
        <f>+[20]Julio!A96</f>
        <v xml:space="preserve">CARGO POR  CONEXIÓN </v>
      </c>
      <c r="B82" s="227"/>
      <c r="C82" s="227"/>
      <c r="E82" s="192">
        <f>+[20]Julio!D96+[20]Agosto!D96+[20]Septiembre!D96+[20]Octubre!D96+[20]Noviembre!D96+[20]Diciembre!D96</f>
        <v>0</v>
      </c>
    </row>
    <row r="83" spans="1:5" ht="15.5">
      <c r="A83" s="226" t="str">
        <f>+[20]Julio!A97</f>
        <v xml:space="preserve">CARGO POR  OPERACIÓN INTEGRADA </v>
      </c>
      <c r="B83" s="227"/>
      <c r="C83" s="227"/>
      <c r="D83" s="232"/>
      <c r="E83" s="234"/>
    </row>
    <row r="84" spans="1:5" ht="15.5">
      <c r="A84" s="226" t="str">
        <f>+[20]Julio!A98</f>
        <v xml:space="preserve">  MENDRE (Generador)</v>
      </c>
      <c r="B84" s="227">
        <f>+[20]Julio!B98</f>
        <v>9.75</v>
      </c>
      <c r="C84" s="227">
        <f>+[20]Julio!C98</f>
        <v>0.1681</v>
      </c>
      <c r="D84" s="232">
        <f>+[20]Julio!D98+[20]Agosto!D98+[20]Septiembre!D98+[20]Octubre!D98+[20]Noviembre!D98+[20]Diciembre!D98</f>
        <v>9833.8799999999992</v>
      </c>
      <c r="E84" s="234"/>
    </row>
    <row r="85" spans="1:5" ht="15.5">
      <c r="A85" s="226"/>
      <c r="B85" s="227"/>
      <c r="C85" s="227"/>
      <c r="D85" s="232"/>
      <c r="E85" s="234"/>
    </row>
    <row r="86" spans="1:5" ht="16" thickBot="1">
      <c r="A86" s="203" t="str">
        <f>+[20]Julio!A101</f>
        <v>AES CHANGUINOLA, S.A. (CHAN I)</v>
      </c>
      <c r="B86" s="182" t="str">
        <f>+[20]Julio!B101</f>
        <v>Cantidad</v>
      </c>
      <c r="C86" s="183" t="str">
        <f>+[20]Julio!C101</f>
        <v xml:space="preserve">Cargos </v>
      </c>
      <c r="D86" s="184"/>
      <c r="E86" s="204"/>
    </row>
    <row r="87" spans="1:5" ht="16" thickTop="1">
      <c r="A87" s="226" t="str">
        <f>+[20]Julio!A102</f>
        <v xml:space="preserve">CARGO POR  CONEXIÓN </v>
      </c>
      <c r="B87" s="227"/>
      <c r="C87" s="227"/>
      <c r="E87" s="192">
        <f>+[20]Julio!D102+[20]Agosto!D102+[20]Septiembre!D102+[20]Octubre!D102+[20]Noviembre!D102+[20]Diciembre!D102</f>
        <v>0</v>
      </c>
    </row>
    <row r="88" spans="1:5" ht="15.5">
      <c r="A88" s="226" t="str">
        <f>+[20]Julio!A103</f>
        <v xml:space="preserve">CARGO POR  OPERACIÓN INTEGRADA </v>
      </c>
      <c r="B88" s="227"/>
      <c r="C88" s="227"/>
      <c r="D88" s="232"/>
      <c r="E88" s="234"/>
    </row>
    <row r="89" spans="1:5" ht="15.5">
      <c r="A89" s="226" t="str">
        <f>+[20]Julio!A104</f>
        <v xml:space="preserve">  CHAN I(Generador)</v>
      </c>
      <c r="B89" s="227">
        <f>+[20]Julio!B104</f>
        <v>222.58</v>
      </c>
      <c r="C89" s="227">
        <f>+[20]Julio!C104</f>
        <v>0.1681</v>
      </c>
      <c r="D89" s="232">
        <f>+[20]Julio!D104+[20]Agosto!D104+[20]Septiembre!D104+[20]Octubre!D104+[20]Noviembre!D104+[20]Diciembre!D104</f>
        <v>224494.2</v>
      </c>
      <c r="E89" s="234"/>
    </row>
    <row r="90" spans="1:5" ht="15.5">
      <c r="A90" s="226"/>
      <c r="B90" s="227"/>
      <c r="C90" s="227"/>
      <c r="D90" s="232"/>
      <c r="E90" s="234"/>
    </row>
    <row r="91" spans="1:5" ht="16" thickBot="1">
      <c r="A91" s="203" t="str">
        <f>+[20]Julio!A107</f>
        <v>GENERADORA PEDREGALITO, S.A. (PEDREGALITO I)</v>
      </c>
      <c r="B91" s="182" t="str">
        <f>+[20]Julio!B107</f>
        <v>Cantidad</v>
      </c>
      <c r="C91" s="183" t="str">
        <f>+[20]Julio!C107</f>
        <v xml:space="preserve">Cargos </v>
      </c>
      <c r="D91" s="184"/>
      <c r="E91" s="204"/>
    </row>
    <row r="92" spans="1:5" ht="16" thickTop="1">
      <c r="A92" s="226" t="str">
        <f>+[20]Julio!A108</f>
        <v xml:space="preserve">CARGO POR  CONEXIÓN </v>
      </c>
      <c r="B92" s="227"/>
      <c r="C92" s="227"/>
      <c r="E92" s="192">
        <f>+[20]Julio!D108+[20]Agosto!D108+[20]Septiembre!D108+[20]Octubre!D108+[20]Noviembre!D108+[20]Diciembre!D108</f>
        <v>0</v>
      </c>
    </row>
    <row r="93" spans="1:5" ht="15.5">
      <c r="A93" s="226" t="str">
        <f>+[20]Julio!A109</f>
        <v xml:space="preserve">CARGO POR  OPERACIÓN INTEGRADA </v>
      </c>
      <c r="B93" s="227"/>
      <c r="C93" s="227"/>
      <c r="D93" s="232"/>
      <c r="E93" s="234"/>
    </row>
    <row r="94" spans="1:5" ht="15.5">
      <c r="A94" s="226" t="str">
        <f>+[20]Julio!A110</f>
        <v xml:space="preserve">  PEDREGALITO I (Generador)</v>
      </c>
      <c r="B94" s="227">
        <f>+[20]Julio!B110</f>
        <v>10</v>
      </c>
      <c r="C94" s="227">
        <f>+[20]Julio!C110</f>
        <v>0.1681</v>
      </c>
      <c r="D94" s="232">
        <f>+[20]Julio!D110+[20]Agosto!D110+[20]Septiembre!D110+[20]Octubre!D110+[20]Noviembre!D110+[20]Diciembre!D110</f>
        <v>10086</v>
      </c>
      <c r="E94" s="234"/>
    </row>
    <row r="95" spans="1:5" ht="15.5">
      <c r="A95" s="226"/>
      <c r="B95" s="227"/>
      <c r="C95" s="227"/>
      <c r="D95" s="232"/>
      <c r="E95" s="234"/>
    </row>
    <row r="96" spans="1:5" ht="16" thickBot="1">
      <c r="A96" s="203" t="str">
        <f>+[20]Julio!A113</f>
        <v>GENERADORA RIO CHICO, S.A. (PEDREGALITO II)</v>
      </c>
      <c r="B96" s="182" t="str">
        <f>+[20]Julio!B113</f>
        <v>Cantidad</v>
      </c>
      <c r="C96" s="183" t="str">
        <f>+[20]Julio!C113</f>
        <v xml:space="preserve">Cargos </v>
      </c>
      <c r="D96" s="184"/>
      <c r="E96" s="204"/>
    </row>
    <row r="97" spans="1:5" ht="16" thickTop="1">
      <c r="A97" s="226" t="str">
        <f>+[20]Julio!A114</f>
        <v xml:space="preserve">CARGO POR  CONEXIÓN </v>
      </c>
      <c r="B97" s="227"/>
      <c r="C97" s="227"/>
      <c r="E97" s="192">
        <f>+[20]Julio!D114+[20]Agosto!D114+[20]Septiembre!D114+[20]Octubre!D114+[20]Noviembre!D114+[20]Diciembre!D114</f>
        <v>0</v>
      </c>
    </row>
    <row r="98" spans="1:5" ht="15.5">
      <c r="A98" s="226" t="str">
        <f>+[20]Julio!A115</f>
        <v xml:space="preserve">CARGO POR  OPERACIÓN INTEGRADA </v>
      </c>
      <c r="B98" s="227"/>
      <c r="C98" s="227"/>
      <c r="D98" s="232"/>
      <c r="E98" s="234"/>
    </row>
    <row r="99" spans="1:5" ht="15.5">
      <c r="A99" s="226" t="str">
        <f>+[20]Julio!A116</f>
        <v xml:space="preserve">  PEDREGALITO II (Generador)</v>
      </c>
      <c r="B99" s="227">
        <f>+[20]Julio!B116</f>
        <v>4</v>
      </c>
      <c r="C99" s="227">
        <f>+[20]Julio!C116</f>
        <v>0.1681</v>
      </c>
      <c r="D99" s="232">
        <f>+[20]Julio!D116+[20]Agosto!D116+[20]Septiembre!D116+[20]Octubre!D116+[20]Noviembre!D116+[20]Diciembre!D116</f>
        <v>4034.4</v>
      </c>
      <c r="E99" s="234"/>
    </row>
    <row r="100" spans="1:5" ht="15.5">
      <c r="A100" s="226"/>
      <c r="B100" s="227"/>
      <c r="C100" s="227"/>
      <c r="D100" s="232"/>
      <c r="E100" s="234"/>
    </row>
    <row r="101" spans="1:5" ht="16" thickBot="1">
      <c r="A101" s="203" t="str">
        <f>+[20]Julio!A119</f>
        <v xml:space="preserve">ALTERNEGY, S.A. </v>
      </c>
      <c r="B101" s="182" t="str">
        <f>+[20]Julio!B119</f>
        <v>Cantidad</v>
      </c>
      <c r="C101" s="183" t="str">
        <f>+[20]Julio!C119</f>
        <v xml:space="preserve">Cargos </v>
      </c>
      <c r="D101" s="184"/>
      <c r="E101" s="204"/>
    </row>
    <row r="102" spans="1:5" ht="16" thickTop="1">
      <c r="A102" s="226" t="str">
        <f>+[20]Julio!A120</f>
        <v xml:space="preserve">CARGO POR  CONEXIÓN </v>
      </c>
      <c r="B102" s="227"/>
      <c r="C102" s="227"/>
      <c r="E102" s="192">
        <f>+[20]Julio!D120+[20]Agosto!D120+[20]Septiembre!D120+[20]Octubre!D120+[20]Noviembre!D120+[20]Diciembre!D120</f>
        <v>0</v>
      </c>
    </row>
    <row r="103" spans="1:5" ht="15.5">
      <c r="A103" s="226" t="str">
        <f>+[20]Julio!A121</f>
        <v xml:space="preserve">CARGO POR  OPERACIÓN INTEGRADA </v>
      </c>
      <c r="B103" s="227"/>
      <c r="C103" s="227"/>
      <c r="D103" s="232"/>
      <c r="E103" s="234"/>
    </row>
    <row r="104" spans="1:5" ht="15.5">
      <c r="A104" s="226" t="str">
        <f>+[20]Julio!A122</f>
        <v xml:space="preserve">   -  Zona 9 (S/E Bahía las Minas) Cativá</v>
      </c>
      <c r="B104" s="227">
        <f>+[20]Julio!B122</f>
        <v>87.2</v>
      </c>
      <c r="C104" s="227">
        <f>+[20]Julio!C122</f>
        <v>0.1681</v>
      </c>
      <c r="D104" s="232">
        <f>+[20]Julio!D122+[20]Agosto!D122+[20]Septiembre!D122+[20]Octubre!D122+[20]Noviembre!D122+[20]Diciembre!D122</f>
        <v>87949.920000000013</v>
      </c>
      <c r="E104" s="234"/>
    </row>
    <row r="105" spans="1:5" ht="15.5">
      <c r="A105" s="226" t="str">
        <f>+[20]Julio!A123</f>
        <v xml:space="preserve">  Lorena (Generador)</v>
      </c>
      <c r="B105" s="227">
        <f>+[20]Julio!B123</f>
        <v>33.799999999999997</v>
      </c>
      <c r="C105" s="227">
        <f>+[20]Julio!C123</f>
        <v>0.1681</v>
      </c>
      <c r="D105" s="232">
        <f>+[20]Julio!D123+[20]Agosto!D123+[20]Septiembre!D123+[20]Octubre!D123+[20]Noviembre!D123+[20]Diciembre!D123</f>
        <v>34090.68</v>
      </c>
      <c r="E105" s="234"/>
    </row>
    <row r="106" spans="1:5" ht="15.5">
      <c r="A106" s="226" t="str">
        <f>+[20]Julio!A124</f>
        <v xml:space="preserve">  Prudencia (Generador)</v>
      </c>
      <c r="B106" s="227">
        <f>+[20]Julio!B124</f>
        <v>58.66</v>
      </c>
      <c r="C106" s="227">
        <f>+[20]Julio!C124</f>
        <v>0.1681</v>
      </c>
      <c r="D106" s="232">
        <f>+[20]Julio!D124+[20]Agosto!D124+[20]Septiembre!D124+[20]Octubre!D124+[20]Noviembre!D124+[20]Diciembre!D124</f>
        <v>59164.5</v>
      </c>
      <c r="E106" s="234"/>
    </row>
    <row r="107" spans="1:5" ht="15.5">
      <c r="A107" s="226"/>
      <c r="B107" s="227"/>
      <c r="C107" s="227"/>
      <c r="D107" s="232"/>
      <c r="E107" s="234"/>
    </row>
    <row r="108" spans="1:5" ht="16" thickBot="1">
      <c r="A108" s="203" t="str">
        <f>+[20]Julio!A127</f>
        <v>BONTEX, S.A. (GUALACA)</v>
      </c>
      <c r="B108" s="182" t="str">
        <f>+[20]Julio!B127</f>
        <v>Cantidad</v>
      </c>
      <c r="C108" s="183" t="str">
        <f>+[20]Julio!C127</f>
        <v xml:space="preserve">Cargos </v>
      </c>
      <c r="D108" s="184"/>
      <c r="E108" s="204"/>
    </row>
    <row r="109" spans="1:5" ht="16" thickTop="1">
      <c r="A109" s="226" t="str">
        <f>+[20]Julio!A128</f>
        <v xml:space="preserve">CARGO POR  CONEXIÓN </v>
      </c>
      <c r="B109" s="227"/>
      <c r="C109" s="227"/>
      <c r="E109" s="192">
        <f>+[20]Julio!D128+[20]Agosto!D128+[20]Septiembre!D128+[20]Octubre!D128+[20]Noviembre!D128+[20]Diciembre!D128</f>
        <v>0</v>
      </c>
    </row>
    <row r="110" spans="1:5" ht="15.5">
      <c r="A110" s="226" t="str">
        <f>+[20]Julio!A129</f>
        <v xml:space="preserve">CARGO POR  OPERACIÓN INTEGRADA </v>
      </c>
      <c r="B110" s="227"/>
      <c r="C110" s="227"/>
      <c r="D110" s="232"/>
      <c r="E110" s="234"/>
    </row>
    <row r="111" spans="1:5" ht="15.5">
      <c r="A111" s="226" t="str">
        <f>+[20]Julio!A130</f>
        <v>BONTEX (Generador)</v>
      </c>
      <c r="B111" s="227">
        <f>+[20]Julio!B130</f>
        <v>25.34</v>
      </c>
      <c r="C111" s="227">
        <f>+[20]Julio!C130</f>
        <v>0.1681</v>
      </c>
      <c r="D111" s="232">
        <f>+[20]Julio!D130+[20]Agosto!D130+[20]Septiembre!D130+[20]Octubre!D130+[20]Noviembre!D130+[20]Diciembre!D130</f>
        <v>25557.9</v>
      </c>
      <c r="E111" s="234"/>
    </row>
    <row r="112" spans="1:5" ht="15.5">
      <c r="A112" s="226"/>
      <c r="B112" s="227"/>
      <c r="C112" s="227"/>
      <c r="D112" s="232"/>
      <c r="E112" s="234"/>
    </row>
    <row r="113" spans="1:5" ht="16" thickBot="1">
      <c r="A113" s="203" t="str">
        <f>+[20]Julio!A133</f>
        <v>IDEAL PANAMA, S.A.</v>
      </c>
      <c r="B113" s="182" t="str">
        <f>+[20]Julio!B133</f>
        <v>Cantidad</v>
      </c>
      <c r="C113" s="183" t="str">
        <f>+[20]Julio!C133</f>
        <v xml:space="preserve">Cargos </v>
      </c>
      <c r="D113" s="184"/>
      <c r="E113" s="204"/>
    </row>
    <row r="114" spans="1:5" ht="16" thickTop="1">
      <c r="A114" s="226" t="str">
        <f>+[20]Julio!A134</f>
        <v xml:space="preserve">CARGO POR  CONEXIÓN </v>
      </c>
      <c r="B114" s="227"/>
      <c r="C114" s="227"/>
      <c r="E114" s="192">
        <f>+[20]Julio!D134+[20]Agosto!D134+[20]Septiembre!D134+[20]Octubre!D134+[20]Noviembre!D134+[20]Diciembre!D134</f>
        <v>0</v>
      </c>
    </row>
    <row r="115" spans="1:5" ht="15.5">
      <c r="A115" s="226" t="str">
        <f>+[20]Julio!A135</f>
        <v xml:space="preserve">CARGO POR  OPERACIÓN INTEGRADA </v>
      </c>
      <c r="B115" s="227"/>
      <c r="C115" s="227"/>
      <c r="D115" s="232"/>
      <c r="E115" s="234"/>
    </row>
    <row r="116" spans="1:5" ht="15.5">
      <c r="A116" s="226" t="str">
        <f>+[20]Julio!A136</f>
        <v xml:space="preserve">  Bajo de Mina (Generador)</v>
      </c>
      <c r="B116" s="227">
        <f>+[20]Julio!B136</f>
        <v>56.8</v>
      </c>
      <c r="C116" s="227">
        <f>+[20]Julio!C136</f>
        <v>0.1681</v>
      </c>
      <c r="D116" s="232">
        <f>+[20]Julio!D136+[20]Agosto!D136+[20]Septiembre!D136+[20]Octubre!D136+[20]Noviembre!D136+[20]Diciembre!D136</f>
        <v>57288.480000000003</v>
      </c>
      <c r="E116" s="234"/>
    </row>
    <row r="117" spans="1:5" ht="15.5">
      <c r="A117" s="226" t="str">
        <f>+[20]Julio!A137</f>
        <v xml:space="preserve">  Baitún (Generador)</v>
      </c>
      <c r="B117" s="227">
        <f>+[20]Julio!B137</f>
        <v>85.9</v>
      </c>
      <c r="C117" s="227">
        <f>+[20]Julio!C137</f>
        <v>0.1681</v>
      </c>
      <c r="D117" s="232">
        <f>+[20]Julio!D137+[20]Agosto!D137+[20]Septiembre!D137+[20]Octubre!D137+[20]Noviembre!D137+[20]Diciembre!D137</f>
        <v>86638.74000000002</v>
      </c>
      <c r="E117" s="234"/>
    </row>
    <row r="118" spans="1:5" ht="15.5">
      <c r="A118" s="226"/>
      <c r="B118" s="227"/>
      <c r="C118" s="227"/>
      <c r="D118" s="232"/>
      <c r="E118" s="234"/>
    </row>
    <row r="119" spans="1:5" ht="16" thickBot="1">
      <c r="A119" s="203" t="str">
        <f>+[20]Julio!A140</f>
        <v>HIDRO PIEDRA, S.A. (RP-490)</v>
      </c>
      <c r="B119" s="182" t="str">
        <f>+[20]Julio!B140</f>
        <v>Cantidad</v>
      </c>
      <c r="C119" s="183" t="str">
        <f>+[20]Julio!C140</f>
        <v xml:space="preserve">Cargos </v>
      </c>
      <c r="D119" s="184"/>
      <c r="E119" s="204"/>
    </row>
    <row r="120" spans="1:5" ht="16" thickTop="1">
      <c r="A120" s="226" t="str">
        <f>+[20]Julio!A141</f>
        <v xml:space="preserve">CARGO POR  CONEXIÓN </v>
      </c>
      <c r="B120" s="227"/>
      <c r="C120" s="227"/>
      <c r="E120" s="192">
        <f>+[20]Julio!D141+[20]Agosto!D141+[20]Septiembre!D141+[20]Octubre!D141+[20]Noviembre!D141+[20]Diciembre!D141</f>
        <v>0</v>
      </c>
    </row>
    <row r="121" spans="1:5" ht="15.5">
      <c r="A121" s="226" t="str">
        <f>+[20]Julio!A142</f>
        <v xml:space="preserve">CARGO POR  OPERACIÓN INTEGRADA </v>
      </c>
      <c r="B121" s="227"/>
      <c r="C121" s="227"/>
      <c r="D121" s="232"/>
      <c r="E121" s="234"/>
    </row>
    <row r="122" spans="1:5" ht="15.5">
      <c r="A122" s="226" t="str">
        <f>+[20]Julio!A143</f>
        <v xml:space="preserve"> RP-490 (Generador)</v>
      </c>
      <c r="B122" s="227">
        <f>+[20]Julio!B143</f>
        <v>4</v>
      </c>
      <c r="C122" s="227">
        <f>+[20]Julio!C143</f>
        <v>0.1681</v>
      </c>
      <c r="D122" s="232">
        <f>+[20]Julio!D143+[20]Agosto!D143+[20]Septiembre!D143+[20]Octubre!D143+[20]Noviembre!D143+[20]Diciembre!D143</f>
        <v>4034.4</v>
      </c>
      <c r="E122" s="234"/>
    </row>
    <row r="123" spans="1:5" ht="15.5">
      <c r="A123" s="226"/>
      <c r="B123" s="227"/>
      <c r="C123" s="227"/>
      <c r="D123" s="232"/>
      <c r="E123" s="234"/>
    </row>
    <row r="124" spans="1:5" ht="16" thickBot="1">
      <c r="A124" s="203" t="str">
        <f>+[20]Julio!A146</f>
        <v>GENERADORA ALTO VALLE, S.A. (COCHEA)</v>
      </c>
      <c r="B124" s="182" t="str">
        <f>+[20]Julio!B146</f>
        <v>Cantidad</v>
      </c>
      <c r="C124" s="183" t="str">
        <f>+[20]Julio!C146</f>
        <v xml:space="preserve">Cargos </v>
      </c>
      <c r="D124" s="184"/>
      <c r="E124" s="204"/>
    </row>
    <row r="125" spans="1:5" ht="16" thickTop="1">
      <c r="A125" s="226" t="str">
        <f>+[20]Julio!A147</f>
        <v xml:space="preserve">CARGO POR  CONEXIÓN </v>
      </c>
      <c r="B125" s="227"/>
      <c r="C125" s="227"/>
      <c r="E125" s="192">
        <f>+[20]Julio!D147+[20]Agosto!D147+[20]Septiembre!D147+[20]Octubre!D147+[20]Noviembre!D147+[20]Diciembre!D147</f>
        <v>0</v>
      </c>
    </row>
    <row r="126" spans="1:5" ht="15.5">
      <c r="A126" s="226" t="str">
        <f>+[20]Julio!A148</f>
        <v xml:space="preserve">CARGO POR  OPERACIÓN INTEGRADA </v>
      </c>
      <c r="B126" s="227"/>
      <c r="C126" s="227"/>
      <c r="D126" s="232"/>
      <c r="E126" s="234"/>
    </row>
    <row r="127" spans="1:5" ht="15.5">
      <c r="A127" s="226" t="str">
        <f>+[20]Julio!A149</f>
        <v>Cochea (Generador)</v>
      </c>
      <c r="B127" s="227">
        <f>+[20]Julio!B149</f>
        <v>5.7</v>
      </c>
      <c r="C127" s="227">
        <f>+[20]Julio!C149</f>
        <v>0.1681</v>
      </c>
      <c r="D127" s="232">
        <f>+[20]Julio!D149+[20]Agosto!D149+[20]Septiembre!D149+[20]Octubre!D149+[20]Noviembre!D149+[20]Diciembre!D149</f>
        <v>5749.0199999999995</v>
      </c>
      <c r="E127" s="234"/>
    </row>
    <row r="128" spans="1:5" ht="15.5">
      <c r="A128" s="226"/>
      <c r="B128" s="227"/>
      <c r="C128" s="227"/>
      <c r="D128" s="232"/>
      <c r="E128" s="234"/>
    </row>
    <row r="129" spans="1:5" ht="16" thickBot="1">
      <c r="A129" s="203" t="str">
        <f>+[20]Julio!A152</f>
        <v>ENERGÍA Y SERVICIOS DE PANAMÁ, S.A. (ESEPSA)</v>
      </c>
      <c r="B129" s="182" t="str">
        <f>+[20]Julio!B152</f>
        <v>Cantidad</v>
      </c>
      <c r="C129" s="183" t="str">
        <f>+[20]Julio!C152</f>
        <v xml:space="preserve">Cargos </v>
      </c>
      <c r="D129" s="184"/>
      <c r="E129" s="204"/>
    </row>
    <row r="130" spans="1:5" ht="16" thickTop="1">
      <c r="A130" s="241" t="str">
        <f>+[20]Julio!A153</f>
        <v xml:space="preserve">CARGO POR  CONEXIÓN </v>
      </c>
      <c r="B130" s="242"/>
      <c r="C130" s="242"/>
      <c r="E130" s="192">
        <f>+[20]Julio!D153+[20]Agosto!D153+[20]Septiembre!D153+[20]Octubre!D153+[20]Noviembre!D153+[20]Diciembre!D153</f>
        <v>0</v>
      </c>
    </row>
    <row r="131" spans="1:5" ht="15.5">
      <c r="A131" s="243" t="str">
        <f>+[20]Julio!A154</f>
        <v xml:space="preserve">CARGO POR  OPERACIÓN INTEGRADA </v>
      </c>
      <c r="B131" s="227"/>
      <c r="C131" s="227"/>
      <c r="D131" s="232"/>
      <c r="E131" s="234"/>
    </row>
    <row r="132" spans="1:5" ht="15.5">
      <c r="A132" s="244" t="str">
        <f>+[20]Julio!A155</f>
        <v>ESEPSA (Generador)</v>
      </c>
      <c r="B132" s="245">
        <f>+[20]Julio!B155</f>
        <v>12.5</v>
      </c>
      <c r="C132" s="245">
        <f>+[20]Julio!C155</f>
        <v>0.1681</v>
      </c>
      <c r="D132" s="246">
        <f>+[20]Julio!D155+[20]Agosto!D155+[20]Septiembre!D155+[20]Octubre!D155+[20]Noviembre!D155+[20]Diciembre!D155</f>
        <v>12607.5</v>
      </c>
      <c r="E132" s="235"/>
    </row>
    <row r="133" spans="1:5" ht="15.5">
      <c r="A133" s="169" t="str">
        <f>+[20]Julio!A158</f>
        <v>INGRESO TOTAL CONEXIÓN</v>
      </c>
      <c r="B133" s="169"/>
      <c r="C133" s="169"/>
      <c r="D133" s="247"/>
      <c r="E133" s="248">
        <f>SUM(E7:E132)</f>
        <v>2103018.08</v>
      </c>
    </row>
    <row r="134" spans="1:5" ht="15.5">
      <c r="A134" s="169" t="str">
        <f>+[20]Julio!A159</f>
        <v>INGRESO TOTAL POR OPERACIÓN INTEGRADA</v>
      </c>
      <c r="B134" s="169"/>
      <c r="C134" s="169"/>
      <c r="D134" s="248">
        <f>SUM(D7:D132)</f>
        <v>4246685.46</v>
      </c>
    </row>
    <row r="135" spans="1:5" ht="15.5">
      <c r="A135" s="169" t="str">
        <f>+[20]Julio!A160</f>
        <v>INGRESO TOTAL ETESA</v>
      </c>
      <c r="B135" s="169"/>
      <c r="C135" s="169"/>
      <c r="D135" s="247"/>
      <c r="E135" s="249"/>
    </row>
    <row r="136" spans="1:5">
      <c r="A136" s="250"/>
      <c r="B136" s="251"/>
      <c r="C136" s="252"/>
      <c r="D136" s="253"/>
    </row>
    <row r="137" spans="1:5">
      <c r="A137" s="250"/>
      <c r="B137" s="254"/>
      <c r="C137" s="252"/>
      <c r="D137" s="253"/>
      <c r="E137" s="173">
        <f>+E133+D134</f>
        <v>6349703.54</v>
      </c>
    </row>
    <row r="138" spans="1:5">
      <c r="A138" s="250"/>
      <c r="B138" s="251"/>
      <c r="C138" s="252"/>
      <c r="D138" s="255"/>
    </row>
    <row r="162" spans="2:2">
      <c r="B162" s="256"/>
    </row>
    <row r="163" spans="2:2">
      <c r="B163" s="256"/>
    </row>
    <row r="164" spans="2:2" ht="15.5">
      <c r="B164" s="257"/>
    </row>
  </sheetData>
  <mergeCells count="1">
    <mergeCell ref="B5:D5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4"/>
  <dimension ref="B2:E22"/>
  <sheetViews>
    <sheetView showGridLines="0" workbookViewId="0">
      <selection activeCell="D15" sqref="D15"/>
    </sheetView>
  </sheetViews>
  <sheetFormatPr baseColWidth="10" defaultRowHeight="12.5"/>
  <cols>
    <col min="1" max="1" width="2.1796875" customWidth="1"/>
    <col min="2" max="2" width="32.7265625" customWidth="1"/>
    <col min="3" max="3" width="25.81640625" bestFit="1" customWidth="1"/>
    <col min="4" max="4" width="25.54296875" customWidth="1"/>
  </cols>
  <sheetData>
    <row r="2" spans="2:5" ht="18">
      <c r="B2" s="995" t="s">
        <v>35</v>
      </c>
      <c r="C2" s="995"/>
      <c r="D2" s="995"/>
    </row>
    <row r="3" spans="2:5" ht="18">
      <c r="B3" s="995" t="s">
        <v>286</v>
      </c>
      <c r="C3" s="995"/>
      <c r="D3" s="995"/>
    </row>
    <row r="4" spans="2:5" ht="18">
      <c r="B4" s="995" t="s">
        <v>268</v>
      </c>
      <c r="C4" s="995"/>
      <c r="D4" s="995"/>
    </row>
    <row r="5" spans="2:5" ht="20">
      <c r="B5" s="483" t="s">
        <v>280</v>
      </c>
      <c r="C5" s="484"/>
      <c r="D5" s="485">
        <v>10323668.400119998</v>
      </c>
      <c r="E5" s="475"/>
    </row>
    <row r="6" spans="2:5" ht="22.5">
      <c r="B6" s="476" t="s">
        <v>281</v>
      </c>
      <c r="C6" s="477"/>
      <c r="D6" s="478"/>
      <c r="E6" s="475"/>
    </row>
    <row r="7" spans="2:5" ht="20">
      <c r="B7" s="476" t="s">
        <v>270</v>
      </c>
      <c r="C7" s="479">
        <v>4246685.46</v>
      </c>
      <c r="D7" s="478"/>
      <c r="E7" s="475"/>
    </row>
    <row r="8" spans="2:5" ht="20">
      <c r="B8" s="476" t="s">
        <v>271</v>
      </c>
      <c r="C8" s="479">
        <v>952460.57799999986</v>
      </c>
      <c r="D8" s="478"/>
      <c r="E8" s="475"/>
    </row>
    <row r="9" spans="2:5" ht="20">
      <c r="B9" s="476" t="s">
        <v>272</v>
      </c>
      <c r="C9" s="479">
        <v>969408.71129999985</v>
      </c>
      <c r="D9" s="478"/>
      <c r="E9" s="475"/>
    </row>
    <row r="10" spans="2:5" ht="20">
      <c r="B10" s="476" t="s">
        <v>273</v>
      </c>
      <c r="C10" s="479">
        <v>961759.09499999986</v>
      </c>
      <c r="D10" s="478"/>
      <c r="E10" s="475"/>
    </row>
    <row r="11" spans="2:5" ht="20">
      <c r="B11" s="476" t="s">
        <v>274</v>
      </c>
      <c r="C11" s="479">
        <v>987562.18829999981</v>
      </c>
      <c r="D11" s="478"/>
      <c r="E11" s="475"/>
    </row>
    <row r="12" spans="2:5" ht="20">
      <c r="B12" s="476" t="s">
        <v>275</v>
      </c>
      <c r="C12" s="479">
        <v>982501.00829999987</v>
      </c>
      <c r="D12" s="478"/>
      <c r="E12" s="475"/>
    </row>
    <row r="13" spans="2:5" ht="22.5">
      <c r="B13" s="476" t="s">
        <v>276</v>
      </c>
      <c r="C13" s="477">
        <v>995351.17629999982</v>
      </c>
      <c r="D13" s="478"/>
      <c r="E13" s="475"/>
    </row>
    <row r="14" spans="2:5" ht="20">
      <c r="B14" s="483" t="s">
        <v>277</v>
      </c>
      <c r="C14" s="484"/>
      <c r="D14" s="485">
        <f>SUM(C7:C13)</f>
        <v>10095728.2172</v>
      </c>
      <c r="E14" s="475"/>
    </row>
    <row r="15" spans="2:5" ht="20">
      <c r="B15" s="476" t="s">
        <v>278</v>
      </c>
      <c r="C15" s="480"/>
      <c r="D15" s="481">
        <f>+D14-D5</f>
        <v>-227940.18291999772</v>
      </c>
      <c r="E15" s="475"/>
    </row>
    <row r="16" spans="2:5" ht="20">
      <c r="B16" s="476" t="s">
        <v>279</v>
      </c>
      <c r="C16" s="482"/>
      <c r="D16" s="480"/>
    </row>
    <row r="17" spans="2:4" ht="20">
      <c r="B17" s="486" t="s">
        <v>282</v>
      </c>
      <c r="C17" s="487"/>
      <c r="D17" s="488">
        <v>-2.2079378578001241E-2</v>
      </c>
    </row>
    <row r="19" spans="2:4" ht="15.5">
      <c r="B19" s="489" t="s">
        <v>283</v>
      </c>
    </row>
    <row r="20" spans="2:4">
      <c r="B20" s="133" t="s">
        <v>287</v>
      </c>
    </row>
    <row r="21" spans="2:4">
      <c r="B21" t="s">
        <v>284</v>
      </c>
    </row>
    <row r="22" spans="2:4">
      <c r="B22" t="s">
        <v>285</v>
      </c>
    </row>
  </sheetData>
  <mergeCells count="3">
    <mergeCell ref="B2:D2"/>
    <mergeCell ref="B3:D3"/>
    <mergeCell ref="B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5"/>
  <dimension ref="B1:AF47"/>
  <sheetViews>
    <sheetView showGridLines="0" zoomScaleNormal="100" workbookViewId="0">
      <selection activeCell="F51" sqref="F51"/>
    </sheetView>
  </sheetViews>
  <sheetFormatPr baseColWidth="10" defaultRowHeight="12.5"/>
  <cols>
    <col min="1" max="1" width="4.7265625" style="515" customWidth="1"/>
    <col min="2" max="2" width="7.81640625" style="515" customWidth="1"/>
    <col min="3" max="3" width="2.81640625" style="515" customWidth="1"/>
    <col min="4" max="4" width="10.26953125" style="515" customWidth="1"/>
    <col min="5" max="5" width="7" style="515" customWidth="1"/>
    <col min="6" max="6" width="11.453125" style="515" customWidth="1"/>
    <col min="7" max="7" width="3.453125" style="515" customWidth="1"/>
    <col min="8" max="8" width="15.81640625" style="515" customWidth="1"/>
    <col min="9" max="9" width="3.81640625" style="515" customWidth="1"/>
    <col min="10" max="10" width="7" style="515" customWidth="1"/>
    <col min="11" max="11" width="3.81640625" style="515" customWidth="1"/>
    <col min="12" max="12" width="13.7265625" style="515" customWidth="1"/>
    <col min="13" max="15" width="11.453125" style="515"/>
    <col min="16" max="24" width="11.453125" style="515" hidden="1" customWidth="1"/>
    <col min="25" max="27" width="11.453125" style="515" customWidth="1"/>
    <col min="28" max="256" width="11.453125" style="515"/>
    <col min="257" max="257" width="4.7265625" style="515" customWidth="1"/>
    <col min="258" max="258" width="7.81640625" style="515" customWidth="1"/>
    <col min="259" max="259" width="2.81640625" style="515" customWidth="1"/>
    <col min="260" max="260" width="10.26953125" style="515" customWidth="1"/>
    <col min="261" max="261" width="7" style="515" customWidth="1"/>
    <col min="262" max="262" width="11.453125" style="515" customWidth="1"/>
    <col min="263" max="263" width="3.453125" style="515" customWidth="1"/>
    <col min="264" max="264" width="15.81640625" style="515" customWidth="1"/>
    <col min="265" max="265" width="3.81640625" style="515" customWidth="1"/>
    <col min="266" max="266" width="7" style="515" customWidth="1"/>
    <col min="267" max="267" width="3.81640625" style="515" customWidth="1"/>
    <col min="268" max="268" width="13.7265625" style="515" customWidth="1"/>
    <col min="269" max="512" width="11.453125" style="515"/>
    <col min="513" max="513" width="4.7265625" style="515" customWidth="1"/>
    <col min="514" max="514" width="7.81640625" style="515" customWidth="1"/>
    <col min="515" max="515" width="2.81640625" style="515" customWidth="1"/>
    <col min="516" max="516" width="10.26953125" style="515" customWidth="1"/>
    <col min="517" max="517" width="7" style="515" customWidth="1"/>
    <col min="518" max="518" width="11.453125" style="515" customWidth="1"/>
    <col min="519" max="519" width="3.453125" style="515" customWidth="1"/>
    <col min="520" max="520" width="15.81640625" style="515" customWidth="1"/>
    <col min="521" max="521" width="3.81640625" style="515" customWidth="1"/>
    <col min="522" max="522" width="7" style="515" customWidth="1"/>
    <col min="523" max="523" width="3.81640625" style="515" customWidth="1"/>
    <col min="524" max="524" width="13.7265625" style="515" customWidth="1"/>
    <col min="525" max="768" width="11.453125" style="515"/>
    <col min="769" max="769" width="4.7265625" style="515" customWidth="1"/>
    <col min="770" max="770" width="7.81640625" style="515" customWidth="1"/>
    <col min="771" max="771" width="2.81640625" style="515" customWidth="1"/>
    <col min="772" max="772" width="10.26953125" style="515" customWidth="1"/>
    <col min="773" max="773" width="7" style="515" customWidth="1"/>
    <col min="774" max="774" width="11.453125" style="515" customWidth="1"/>
    <col min="775" max="775" width="3.453125" style="515" customWidth="1"/>
    <col min="776" max="776" width="15.81640625" style="515" customWidth="1"/>
    <col min="777" max="777" width="3.81640625" style="515" customWidth="1"/>
    <col min="778" max="778" width="7" style="515" customWidth="1"/>
    <col min="779" max="779" width="3.81640625" style="515" customWidth="1"/>
    <col min="780" max="780" width="13.7265625" style="515" customWidth="1"/>
    <col min="781" max="1024" width="11.453125" style="515"/>
    <col min="1025" max="1025" width="4.7265625" style="515" customWidth="1"/>
    <col min="1026" max="1026" width="7.81640625" style="515" customWidth="1"/>
    <col min="1027" max="1027" width="2.81640625" style="515" customWidth="1"/>
    <col min="1028" max="1028" width="10.26953125" style="515" customWidth="1"/>
    <col min="1029" max="1029" width="7" style="515" customWidth="1"/>
    <col min="1030" max="1030" width="11.453125" style="515" customWidth="1"/>
    <col min="1031" max="1031" width="3.453125" style="515" customWidth="1"/>
    <col min="1032" max="1032" width="15.81640625" style="515" customWidth="1"/>
    <col min="1033" max="1033" width="3.81640625" style="515" customWidth="1"/>
    <col min="1034" max="1034" width="7" style="515" customWidth="1"/>
    <col min="1035" max="1035" width="3.81640625" style="515" customWidth="1"/>
    <col min="1036" max="1036" width="13.7265625" style="515" customWidth="1"/>
    <col min="1037" max="1280" width="11.453125" style="515"/>
    <col min="1281" max="1281" width="4.7265625" style="515" customWidth="1"/>
    <col min="1282" max="1282" width="7.81640625" style="515" customWidth="1"/>
    <col min="1283" max="1283" width="2.81640625" style="515" customWidth="1"/>
    <col min="1284" max="1284" width="10.26953125" style="515" customWidth="1"/>
    <col min="1285" max="1285" width="7" style="515" customWidth="1"/>
    <col min="1286" max="1286" width="11.453125" style="515" customWidth="1"/>
    <col min="1287" max="1287" width="3.453125" style="515" customWidth="1"/>
    <col min="1288" max="1288" width="15.81640625" style="515" customWidth="1"/>
    <col min="1289" max="1289" width="3.81640625" style="515" customWidth="1"/>
    <col min="1290" max="1290" width="7" style="515" customWidth="1"/>
    <col min="1291" max="1291" width="3.81640625" style="515" customWidth="1"/>
    <col min="1292" max="1292" width="13.7265625" style="515" customWidth="1"/>
    <col min="1293" max="1536" width="11.453125" style="515"/>
    <col min="1537" max="1537" width="4.7265625" style="515" customWidth="1"/>
    <col min="1538" max="1538" width="7.81640625" style="515" customWidth="1"/>
    <col min="1539" max="1539" width="2.81640625" style="515" customWidth="1"/>
    <col min="1540" max="1540" width="10.26953125" style="515" customWidth="1"/>
    <col min="1541" max="1541" width="7" style="515" customWidth="1"/>
    <col min="1542" max="1542" width="11.453125" style="515" customWidth="1"/>
    <col min="1543" max="1543" width="3.453125" style="515" customWidth="1"/>
    <col min="1544" max="1544" width="15.81640625" style="515" customWidth="1"/>
    <col min="1545" max="1545" width="3.81640625" style="515" customWidth="1"/>
    <col min="1546" max="1546" width="7" style="515" customWidth="1"/>
    <col min="1547" max="1547" width="3.81640625" style="515" customWidth="1"/>
    <col min="1548" max="1548" width="13.7265625" style="515" customWidth="1"/>
    <col min="1549" max="1792" width="11.453125" style="515"/>
    <col min="1793" max="1793" width="4.7265625" style="515" customWidth="1"/>
    <col min="1794" max="1794" width="7.81640625" style="515" customWidth="1"/>
    <col min="1795" max="1795" width="2.81640625" style="515" customWidth="1"/>
    <col min="1796" max="1796" width="10.26953125" style="515" customWidth="1"/>
    <col min="1797" max="1797" width="7" style="515" customWidth="1"/>
    <col min="1798" max="1798" width="11.453125" style="515" customWidth="1"/>
    <col min="1799" max="1799" width="3.453125" style="515" customWidth="1"/>
    <col min="1800" max="1800" width="15.81640625" style="515" customWidth="1"/>
    <col min="1801" max="1801" width="3.81640625" style="515" customWidth="1"/>
    <col min="1802" max="1802" width="7" style="515" customWidth="1"/>
    <col min="1803" max="1803" width="3.81640625" style="515" customWidth="1"/>
    <col min="1804" max="1804" width="13.7265625" style="515" customWidth="1"/>
    <col min="1805" max="2048" width="11.453125" style="515"/>
    <col min="2049" max="2049" width="4.7265625" style="515" customWidth="1"/>
    <col min="2050" max="2050" width="7.81640625" style="515" customWidth="1"/>
    <col min="2051" max="2051" width="2.81640625" style="515" customWidth="1"/>
    <col min="2052" max="2052" width="10.26953125" style="515" customWidth="1"/>
    <col min="2053" max="2053" width="7" style="515" customWidth="1"/>
    <col min="2054" max="2054" width="11.453125" style="515" customWidth="1"/>
    <col min="2055" max="2055" width="3.453125" style="515" customWidth="1"/>
    <col min="2056" max="2056" width="15.81640625" style="515" customWidth="1"/>
    <col min="2057" max="2057" width="3.81640625" style="515" customWidth="1"/>
    <col min="2058" max="2058" width="7" style="515" customWidth="1"/>
    <col min="2059" max="2059" width="3.81640625" style="515" customWidth="1"/>
    <col min="2060" max="2060" width="13.7265625" style="515" customWidth="1"/>
    <col min="2061" max="2304" width="11.453125" style="515"/>
    <col min="2305" max="2305" width="4.7265625" style="515" customWidth="1"/>
    <col min="2306" max="2306" width="7.81640625" style="515" customWidth="1"/>
    <col min="2307" max="2307" width="2.81640625" style="515" customWidth="1"/>
    <col min="2308" max="2308" width="10.26953125" style="515" customWidth="1"/>
    <col min="2309" max="2309" width="7" style="515" customWidth="1"/>
    <col min="2310" max="2310" width="11.453125" style="515" customWidth="1"/>
    <col min="2311" max="2311" width="3.453125" style="515" customWidth="1"/>
    <col min="2312" max="2312" width="15.81640625" style="515" customWidth="1"/>
    <col min="2313" max="2313" width="3.81640625" style="515" customWidth="1"/>
    <col min="2314" max="2314" width="7" style="515" customWidth="1"/>
    <col min="2315" max="2315" width="3.81640625" style="515" customWidth="1"/>
    <col min="2316" max="2316" width="13.7265625" style="515" customWidth="1"/>
    <col min="2317" max="2560" width="11.453125" style="515"/>
    <col min="2561" max="2561" width="4.7265625" style="515" customWidth="1"/>
    <col min="2562" max="2562" width="7.81640625" style="515" customWidth="1"/>
    <col min="2563" max="2563" width="2.81640625" style="515" customWidth="1"/>
    <col min="2564" max="2564" width="10.26953125" style="515" customWidth="1"/>
    <col min="2565" max="2565" width="7" style="515" customWidth="1"/>
    <col min="2566" max="2566" width="11.453125" style="515" customWidth="1"/>
    <col min="2567" max="2567" width="3.453125" style="515" customWidth="1"/>
    <col min="2568" max="2568" width="15.81640625" style="515" customWidth="1"/>
    <col min="2569" max="2569" width="3.81640625" style="515" customWidth="1"/>
    <col min="2570" max="2570" width="7" style="515" customWidth="1"/>
    <col min="2571" max="2571" width="3.81640625" style="515" customWidth="1"/>
    <col min="2572" max="2572" width="13.7265625" style="515" customWidth="1"/>
    <col min="2573" max="2816" width="11.453125" style="515"/>
    <col min="2817" max="2817" width="4.7265625" style="515" customWidth="1"/>
    <col min="2818" max="2818" width="7.81640625" style="515" customWidth="1"/>
    <col min="2819" max="2819" width="2.81640625" style="515" customWidth="1"/>
    <col min="2820" max="2820" width="10.26953125" style="515" customWidth="1"/>
    <col min="2821" max="2821" width="7" style="515" customWidth="1"/>
    <col min="2822" max="2822" width="11.453125" style="515" customWidth="1"/>
    <col min="2823" max="2823" width="3.453125" style="515" customWidth="1"/>
    <col min="2824" max="2824" width="15.81640625" style="515" customWidth="1"/>
    <col min="2825" max="2825" width="3.81640625" style="515" customWidth="1"/>
    <col min="2826" max="2826" width="7" style="515" customWidth="1"/>
    <col min="2827" max="2827" width="3.81640625" style="515" customWidth="1"/>
    <col min="2828" max="2828" width="13.7265625" style="515" customWidth="1"/>
    <col min="2829" max="3072" width="11.453125" style="515"/>
    <col min="3073" max="3073" width="4.7265625" style="515" customWidth="1"/>
    <col min="3074" max="3074" width="7.81640625" style="515" customWidth="1"/>
    <col min="3075" max="3075" width="2.81640625" style="515" customWidth="1"/>
    <col min="3076" max="3076" width="10.26953125" style="515" customWidth="1"/>
    <col min="3077" max="3077" width="7" style="515" customWidth="1"/>
    <col min="3078" max="3078" width="11.453125" style="515" customWidth="1"/>
    <col min="3079" max="3079" width="3.453125" style="515" customWidth="1"/>
    <col min="3080" max="3080" width="15.81640625" style="515" customWidth="1"/>
    <col min="3081" max="3081" width="3.81640625" style="515" customWidth="1"/>
    <col min="3082" max="3082" width="7" style="515" customWidth="1"/>
    <col min="3083" max="3083" width="3.81640625" style="515" customWidth="1"/>
    <col min="3084" max="3084" width="13.7265625" style="515" customWidth="1"/>
    <col min="3085" max="3328" width="11.453125" style="515"/>
    <col min="3329" max="3329" width="4.7265625" style="515" customWidth="1"/>
    <col min="3330" max="3330" width="7.81640625" style="515" customWidth="1"/>
    <col min="3331" max="3331" width="2.81640625" style="515" customWidth="1"/>
    <col min="3332" max="3332" width="10.26953125" style="515" customWidth="1"/>
    <col min="3333" max="3333" width="7" style="515" customWidth="1"/>
    <col min="3334" max="3334" width="11.453125" style="515" customWidth="1"/>
    <col min="3335" max="3335" width="3.453125" style="515" customWidth="1"/>
    <col min="3336" max="3336" width="15.81640625" style="515" customWidth="1"/>
    <col min="3337" max="3337" width="3.81640625" style="515" customWidth="1"/>
    <col min="3338" max="3338" width="7" style="515" customWidth="1"/>
    <col min="3339" max="3339" width="3.81640625" style="515" customWidth="1"/>
    <col min="3340" max="3340" width="13.7265625" style="515" customWidth="1"/>
    <col min="3341" max="3584" width="11.453125" style="515"/>
    <col min="3585" max="3585" width="4.7265625" style="515" customWidth="1"/>
    <col min="3586" max="3586" width="7.81640625" style="515" customWidth="1"/>
    <col min="3587" max="3587" width="2.81640625" style="515" customWidth="1"/>
    <col min="3588" max="3588" width="10.26953125" style="515" customWidth="1"/>
    <col min="3589" max="3589" width="7" style="515" customWidth="1"/>
    <col min="3590" max="3590" width="11.453125" style="515" customWidth="1"/>
    <col min="3591" max="3591" width="3.453125" style="515" customWidth="1"/>
    <col min="3592" max="3592" width="15.81640625" style="515" customWidth="1"/>
    <col min="3593" max="3593" width="3.81640625" style="515" customWidth="1"/>
    <col min="3594" max="3594" width="7" style="515" customWidth="1"/>
    <col min="3595" max="3595" width="3.81640625" style="515" customWidth="1"/>
    <col min="3596" max="3596" width="13.7265625" style="515" customWidth="1"/>
    <col min="3597" max="3840" width="11.453125" style="515"/>
    <col min="3841" max="3841" width="4.7265625" style="515" customWidth="1"/>
    <col min="3842" max="3842" width="7.81640625" style="515" customWidth="1"/>
    <col min="3843" max="3843" width="2.81640625" style="515" customWidth="1"/>
    <col min="3844" max="3844" width="10.26953125" style="515" customWidth="1"/>
    <col min="3845" max="3845" width="7" style="515" customWidth="1"/>
    <col min="3846" max="3846" width="11.453125" style="515" customWidth="1"/>
    <col min="3847" max="3847" width="3.453125" style="515" customWidth="1"/>
    <col min="3848" max="3848" width="15.81640625" style="515" customWidth="1"/>
    <col min="3849" max="3849" width="3.81640625" style="515" customWidth="1"/>
    <col min="3850" max="3850" width="7" style="515" customWidth="1"/>
    <col min="3851" max="3851" width="3.81640625" style="515" customWidth="1"/>
    <col min="3852" max="3852" width="13.7265625" style="515" customWidth="1"/>
    <col min="3853" max="4096" width="11.453125" style="515"/>
    <col min="4097" max="4097" width="4.7265625" style="515" customWidth="1"/>
    <col min="4098" max="4098" width="7.81640625" style="515" customWidth="1"/>
    <col min="4099" max="4099" width="2.81640625" style="515" customWidth="1"/>
    <col min="4100" max="4100" width="10.26953125" style="515" customWidth="1"/>
    <col min="4101" max="4101" width="7" style="515" customWidth="1"/>
    <col min="4102" max="4102" width="11.453125" style="515" customWidth="1"/>
    <col min="4103" max="4103" width="3.453125" style="515" customWidth="1"/>
    <col min="4104" max="4104" width="15.81640625" style="515" customWidth="1"/>
    <col min="4105" max="4105" width="3.81640625" style="515" customWidth="1"/>
    <col min="4106" max="4106" width="7" style="515" customWidth="1"/>
    <col min="4107" max="4107" width="3.81640625" style="515" customWidth="1"/>
    <col min="4108" max="4108" width="13.7265625" style="515" customWidth="1"/>
    <col min="4109" max="4352" width="11.453125" style="515"/>
    <col min="4353" max="4353" width="4.7265625" style="515" customWidth="1"/>
    <col min="4354" max="4354" width="7.81640625" style="515" customWidth="1"/>
    <col min="4355" max="4355" width="2.81640625" style="515" customWidth="1"/>
    <col min="4356" max="4356" width="10.26953125" style="515" customWidth="1"/>
    <col min="4357" max="4357" width="7" style="515" customWidth="1"/>
    <col min="4358" max="4358" width="11.453125" style="515" customWidth="1"/>
    <col min="4359" max="4359" width="3.453125" style="515" customWidth="1"/>
    <col min="4360" max="4360" width="15.81640625" style="515" customWidth="1"/>
    <col min="4361" max="4361" width="3.81640625" style="515" customWidth="1"/>
    <col min="4362" max="4362" width="7" style="515" customWidth="1"/>
    <col min="4363" max="4363" width="3.81640625" style="515" customWidth="1"/>
    <col min="4364" max="4364" width="13.7265625" style="515" customWidth="1"/>
    <col min="4365" max="4608" width="11.453125" style="515"/>
    <col min="4609" max="4609" width="4.7265625" style="515" customWidth="1"/>
    <col min="4610" max="4610" width="7.81640625" style="515" customWidth="1"/>
    <col min="4611" max="4611" width="2.81640625" style="515" customWidth="1"/>
    <col min="4612" max="4612" width="10.26953125" style="515" customWidth="1"/>
    <col min="4613" max="4613" width="7" style="515" customWidth="1"/>
    <col min="4614" max="4614" width="11.453125" style="515" customWidth="1"/>
    <col min="4615" max="4615" width="3.453125" style="515" customWidth="1"/>
    <col min="4616" max="4616" width="15.81640625" style="515" customWidth="1"/>
    <col min="4617" max="4617" width="3.81640625" style="515" customWidth="1"/>
    <col min="4618" max="4618" width="7" style="515" customWidth="1"/>
    <col min="4619" max="4619" width="3.81640625" style="515" customWidth="1"/>
    <col min="4620" max="4620" width="13.7265625" style="515" customWidth="1"/>
    <col min="4621" max="4864" width="11.453125" style="515"/>
    <col min="4865" max="4865" width="4.7265625" style="515" customWidth="1"/>
    <col min="4866" max="4866" width="7.81640625" style="515" customWidth="1"/>
    <col min="4867" max="4867" width="2.81640625" style="515" customWidth="1"/>
    <col min="4868" max="4868" width="10.26953125" style="515" customWidth="1"/>
    <col min="4869" max="4869" width="7" style="515" customWidth="1"/>
    <col min="4870" max="4870" width="11.453125" style="515" customWidth="1"/>
    <col min="4871" max="4871" width="3.453125" style="515" customWidth="1"/>
    <col min="4872" max="4872" width="15.81640625" style="515" customWidth="1"/>
    <col min="4873" max="4873" width="3.81640625" style="515" customWidth="1"/>
    <col min="4874" max="4874" width="7" style="515" customWidth="1"/>
    <col min="4875" max="4875" width="3.81640625" style="515" customWidth="1"/>
    <col min="4876" max="4876" width="13.7265625" style="515" customWidth="1"/>
    <col min="4877" max="5120" width="11.453125" style="515"/>
    <col min="5121" max="5121" width="4.7265625" style="515" customWidth="1"/>
    <col min="5122" max="5122" width="7.81640625" style="515" customWidth="1"/>
    <col min="5123" max="5123" width="2.81640625" style="515" customWidth="1"/>
    <col min="5124" max="5124" width="10.26953125" style="515" customWidth="1"/>
    <col min="5125" max="5125" width="7" style="515" customWidth="1"/>
    <col min="5126" max="5126" width="11.453125" style="515" customWidth="1"/>
    <col min="5127" max="5127" width="3.453125" style="515" customWidth="1"/>
    <col min="5128" max="5128" width="15.81640625" style="515" customWidth="1"/>
    <col min="5129" max="5129" width="3.81640625" style="515" customWidth="1"/>
    <col min="5130" max="5130" width="7" style="515" customWidth="1"/>
    <col min="5131" max="5131" width="3.81640625" style="515" customWidth="1"/>
    <col min="5132" max="5132" width="13.7265625" style="515" customWidth="1"/>
    <col min="5133" max="5376" width="11.453125" style="515"/>
    <col min="5377" max="5377" width="4.7265625" style="515" customWidth="1"/>
    <col min="5378" max="5378" width="7.81640625" style="515" customWidth="1"/>
    <col min="5379" max="5379" width="2.81640625" style="515" customWidth="1"/>
    <col min="5380" max="5380" width="10.26953125" style="515" customWidth="1"/>
    <col min="5381" max="5381" width="7" style="515" customWidth="1"/>
    <col min="5382" max="5382" width="11.453125" style="515" customWidth="1"/>
    <col min="5383" max="5383" width="3.453125" style="515" customWidth="1"/>
    <col min="5384" max="5384" width="15.81640625" style="515" customWidth="1"/>
    <col min="5385" max="5385" width="3.81640625" style="515" customWidth="1"/>
    <col min="5386" max="5386" width="7" style="515" customWidth="1"/>
    <col min="5387" max="5387" width="3.81640625" style="515" customWidth="1"/>
    <col min="5388" max="5388" width="13.7265625" style="515" customWidth="1"/>
    <col min="5389" max="5632" width="11.453125" style="515"/>
    <col min="5633" max="5633" width="4.7265625" style="515" customWidth="1"/>
    <col min="5634" max="5634" width="7.81640625" style="515" customWidth="1"/>
    <col min="5635" max="5635" width="2.81640625" style="515" customWidth="1"/>
    <col min="5636" max="5636" width="10.26953125" style="515" customWidth="1"/>
    <col min="5637" max="5637" width="7" style="515" customWidth="1"/>
    <col min="5638" max="5638" width="11.453125" style="515" customWidth="1"/>
    <col min="5639" max="5639" width="3.453125" style="515" customWidth="1"/>
    <col min="5640" max="5640" width="15.81640625" style="515" customWidth="1"/>
    <col min="5641" max="5641" width="3.81640625" style="515" customWidth="1"/>
    <col min="5642" max="5642" width="7" style="515" customWidth="1"/>
    <col min="5643" max="5643" width="3.81640625" style="515" customWidth="1"/>
    <col min="5644" max="5644" width="13.7265625" style="515" customWidth="1"/>
    <col min="5645" max="5888" width="11.453125" style="515"/>
    <col min="5889" max="5889" width="4.7265625" style="515" customWidth="1"/>
    <col min="5890" max="5890" width="7.81640625" style="515" customWidth="1"/>
    <col min="5891" max="5891" width="2.81640625" style="515" customWidth="1"/>
    <col min="5892" max="5892" width="10.26953125" style="515" customWidth="1"/>
    <col min="5893" max="5893" width="7" style="515" customWidth="1"/>
    <col min="5894" max="5894" width="11.453125" style="515" customWidth="1"/>
    <col min="5895" max="5895" width="3.453125" style="515" customWidth="1"/>
    <col min="5896" max="5896" width="15.81640625" style="515" customWidth="1"/>
    <col min="5897" max="5897" width="3.81640625" style="515" customWidth="1"/>
    <col min="5898" max="5898" width="7" style="515" customWidth="1"/>
    <col min="5899" max="5899" width="3.81640625" style="515" customWidth="1"/>
    <col min="5900" max="5900" width="13.7265625" style="515" customWidth="1"/>
    <col min="5901" max="6144" width="11.453125" style="515"/>
    <col min="6145" max="6145" width="4.7265625" style="515" customWidth="1"/>
    <col min="6146" max="6146" width="7.81640625" style="515" customWidth="1"/>
    <col min="6147" max="6147" width="2.81640625" style="515" customWidth="1"/>
    <col min="6148" max="6148" width="10.26953125" style="515" customWidth="1"/>
    <col min="6149" max="6149" width="7" style="515" customWidth="1"/>
    <col min="6150" max="6150" width="11.453125" style="515" customWidth="1"/>
    <col min="6151" max="6151" width="3.453125" style="515" customWidth="1"/>
    <col min="6152" max="6152" width="15.81640625" style="515" customWidth="1"/>
    <col min="6153" max="6153" width="3.81640625" style="515" customWidth="1"/>
    <col min="6154" max="6154" width="7" style="515" customWidth="1"/>
    <col min="6155" max="6155" width="3.81640625" style="515" customWidth="1"/>
    <col min="6156" max="6156" width="13.7265625" style="515" customWidth="1"/>
    <col min="6157" max="6400" width="11.453125" style="515"/>
    <col min="6401" max="6401" width="4.7265625" style="515" customWidth="1"/>
    <col min="6402" max="6402" width="7.81640625" style="515" customWidth="1"/>
    <col min="6403" max="6403" width="2.81640625" style="515" customWidth="1"/>
    <col min="6404" max="6404" width="10.26953125" style="515" customWidth="1"/>
    <col min="6405" max="6405" width="7" style="515" customWidth="1"/>
    <col min="6406" max="6406" width="11.453125" style="515" customWidth="1"/>
    <col min="6407" max="6407" width="3.453125" style="515" customWidth="1"/>
    <col min="6408" max="6408" width="15.81640625" style="515" customWidth="1"/>
    <col min="6409" max="6409" width="3.81640625" style="515" customWidth="1"/>
    <col min="6410" max="6410" width="7" style="515" customWidth="1"/>
    <col min="6411" max="6411" width="3.81640625" style="515" customWidth="1"/>
    <col min="6412" max="6412" width="13.7265625" style="515" customWidth="1"/>
    <col min="6413" max="6656" width="11.453125" style="515"/>
    <col min="6657" max="6657" width="4.7265625" style="515" customWidth="1"/>
    <col min="6658" max="6658" width="7.81640625" style="515" customWidth="1"/>
    <col min="6659" max="6659" width="2.81640625" style="515" customWidth="1"/>
    <col min="6660" max="6660" width="10.26953125" style="515" customWidth="1"/>
    <col min="6661" max="6661" width="7" style="515" customWidth="1"/>
    <col min="6662" max="6662" width="11.453125" style="515" customWidth="1"/>
    <col min="6663" max="6663" width="3.453125" style="515" customWidth="1"/>
    <col min="6664" max="6664" width="15.81640625" style="515" customWidth="1"/>
    <col min="6665" max="6665" width="3.81640625" style="515" customWidth="1"/>
    <col min="6666" max="6666" width="7" style="515" customWidth="1"/>
    <col min="6667" max="6667" width="3.81640625" style="515" customWidth="1"/>
    <col min="6668" max="6668" width="13.7265625" style="515" customWidth="1"/>
    <col min="6669" max="6912" width="11.453125" style="515"/>
    <col min="6913" max="6913" width="4.7265625" style="515" customWidth="1"/>
    <col min="6914" max="6914" width="7.81640625" style="515" customWidth="1"/>
    <col min="6915" max="6915" width="2.81640625" style="515" customWidth="1"/>
    <col min="6916" max="6916" width="10.26953125" style="515" customWidth="1"/>
    <col min="6917" max="6917" width="7" style="515" customWidth="1"/>
    <col min="6918" max="6918" width="11.453125" style="515" customWidth="1"/>
    <col min="6919" max="6919" width="3.453125" style="515" customWidth="1"/>
    <col min="6920" max="6920" width="15.81640625" style="515" customWidth="1"/>
    <col min="6921" max="6921" width="3.81640625" style="515" customWidth="1"/>
    <col min="6922" max="6922" width="7" style="515" customWidth="1"/>
    <col min="6923" max="6923" width="3.81640625" style="515" customWidth="1"/>
    <col min="6924" max="6924" width="13.7265625" style="515" customWidth="1"/>
    <col min="6925" max="7168" width="11.453125" style="515"/>
    <col min="7169" max="7169" width="4.7265625" style="515" customWidth="1"/>
    <col min="7170" max="7170" width="7.81640625" style="515" customWidth="1"/>
    <col min="7171" max="7171" width="2.81640625" style="515" customWidth="1"/>
    <col min="7172" max="7172" width="10.26953125" style="515" customWidth="1"/>
    <col min="7173" max="7173" width="7" style="515" customWidth="1"/>
    <col min="7174" max="7174" width="11.453125" style="515" customWidth="1"/>
    <col min="7175" max="7175" width="3.453125" style="515" customWidth="1"/>
    <col min="7176" max="7176" width="15.81640625" style="515" customWidth="1"/>
    <col min="7177" max="7177" width="3.81640625" style="515" customWidth="1"/>
    <col min="7178" max="7178" width="7" style="515" customWidth="1"/>
    <col min="7179" max="7179" width="3.81640625" style="515" customWidth="1"/>
    <col min="7180" max="7180" width="13.7265625" style="515" customWidth="1"/>
    <col min="7181" max="7424" width="11.453125" style="515"/>
    <col min="7425" max="7425" width="4.7265625" style="515" customWidth="1"/>
    <col min="7426" max="7426" width="7.81640625" style="515" customWidth="1"/>
    <col min="7427" max="7427" width="2.81640625" style="515" customWidth="1"/>
    <col min="7428" max="7428" width="10.26953125" style="515" customWidth="1"/>
    <col min="7429" max="7429" width="7" style="515" customWidth="1"/>
    <col min="7430" max="7430" width="11.453125" style="515" customWidth="1"/>
    <col min="7431" max="7431" width="3.453125" style="515" customWidth="1"/>
    <col min="7432" max="7432" width="15.81640625" style="515" customWidth="1"/>
    <col min="7433" max="7433" width="3.81640625" style="515" customWidth="1"/>
    <col min="7434" max="7434" width="7" style="515" customWidth="1"/>
    <col min="7435" max="7435" width="3.81640625" style="515" customWidth="1"/>
    <col min="7436" max="7436" width="13.7265625" style="515" customWidth="1"/>
    <col min="7437" max="7680" width="11.453125" style="515"/>
    <col min="7681" max="7681" width="4.7265625" style="515" customWidth="1"/>
    <col min="7682" max="7682" width="7.81640625" style="515" customWidth="1"/>
    <col min="7683" max="7683" width="2.81640625" style="515" customWidth="1"/>
    <col min="7684" max="7684" width="10.26953125" style="515" customWidth="1"/>
    <col min="7685" max="7685" width="7" style="515" customWidth="1"/>
    <col min="7686" max="7686" width="11.453125" style="515" customWidth="1"/>
    <col min="7687" max="7687" width="3.453125" style="515" customWidth="1"/>
    <col min="7688" max="7688" width="15.81640625" style="515" customWidth="1"/>
    <col min="7689" max="7689" width="3.81640625" style="515" customWidth="1"/>
    <col min="7690" max="7690" width="7" style="515" customWidth="1"/>
    <col min="7691" max="7691" width="3.81640625" style="515" customWidth="1"/>
    <col min="7692" max="7692" width="13.7265625" style="515" customWidth="1"/>
    <col min="7693" max="7936" width="11.453125" style="515"/>
    <col min="7937" max="7937" width="4.7265625" style="515" customWidth="1"/>
    <col min="7938" max="7938" width="7.81640625" style="515" customWidth="1"/>
    <col min="7939" max="7939" width="2.81640625" style="515" customWidth="1"/>
    <col min="7940" max="7940" width="10.26953125" style="515" customWidth="1"/>
    <col min="7941" max="7941" width="7" style="515" customWidth="1"/>
    <col min="7942" max="7942" width="11.453125" style="515" customWidth="1"/>
    <col min="7943" max="7943" width="3.453125" style="515" customWidth="1"/>
    <col min="7944" max="7944" width="15.81640625" style="515" customWidth="1"/>
    <col min="7945" max="7945" width="3.81640625" style="515" customWidth="1"/>
    <col min="7946" max="7946" width="7" style="515" customWidth="1"/>
    <col min="7947" max="7947" width="3.81640625" style="515" customWidth="1"/>
    <col min="7948" max="7948" width="13.7265625" style="515" customWidth="1"/>
    <col min="7949" max="8192" width="11.453125" style="515"/>
    <col min="8193" max="8193" width="4.7265625" style="515" customWidth="1"/>
    <col min="8194" max="8194" width="7.81640625" style="515" customWidth="1"/>
    <col min="8195" max="8195" width="2.81640625" style="515" customWidth="1"/>
    <col min="8196" max="8196" width="10.26953125" style="515" customWidth="1"/>
    <col min="8197" max="8197" width="7" style="515" customWidth="1"/>
    <col min="8198" max="8198" width="11.453125" style="515" customWidth="1"/>
    <col min="8199" max="8199" width="3.453125" style="515" customWidth="1"/>
    <col min="8200" max="8200" width="15.81640625" style="515" customWidth="1"/>
    <col min="8201" max="8201" width="3.81640625" style="515" customWidth="1"/>
    <col min="8202" max="8202" width="7" style="515" customWidth="1"/>
    <col min="8203" max="8203" width="3.81640625" style="515" customWidth="1"/>
    <col min="8204" max="8204" width="13.7265625" style="515" customWidth="1"/>
    <col min="8205" max="8448" width="11.453125" style="515"/>
    <col min="8449" max="8449" width="4.7265625" style="515" customWidth="1"/>
    <col min="8450" max="8450" width="7.81640625" style="515" customWidth="1"/>
    <col min="8451" max="8451" width="2.81640625" style="515" customWidth="1"/>
    <col min="8452" max="8452" width="10.26953125" style="515" customWidth="1"/>
    <col min="8453" max="8453" width="7" style="515" customWidth="1"/>
    <col min="8454" max="8454" width="11.453125" style="515" customWidth="1"/>
    <col min="8455" max="8455" width="3.453125" style="515" customWidth="1"/>
    <col min="8456" max="8456" width="15.81640625" style="515" customWidth="1"/>
    <col min="8457" max="8457" width="3.81640625" style="515" customWidth="1"/>
    <col min="8458" max="8458" width="7" style="515" customWidth="1"/>
    <col min="8459" max="8459" width="3.81640625" style="515" customWidth="1"/>
    <col min="8460" max="8460" width="13.7265625" style="515" customWidth="1"/>
    <col min="8461" max="8704" width="11.453125" style="515"/>
    <col min="8705" max="8705" width="4.7265625" style="515" customWidth="1"/>
    <col min="8706" max="8706" width="7.81640625" style="515" customWidth="1"/>
    <col min="8707" max="8707" width="2.81640625" style="515" customWidth="1"/>
    <col min="8708" max="8708" width="10.26953125" style="515" customWidth="1"/>
    <col min="8709" max="8709" width="7" style="515" customWidth="1"/>
    <col min="8710" max="8710" width="11.453125" style="515" customWidth="1"/>
    <col min="8711" max="8711" width="3.453125" style="515" customWidth="1"/>
    <col min="8712" max="8712" width="15.81640625" style="515" customWidth="1"/>
    <col min="8713" max="8713" width="3.81640625" style="515" customWidth="1"/>
    <col min="8714" max="8714" width="7" style="515" customWidth="1"/>
    <col min="8715" max="8715" width="3.81640625" style="515" customWidth="1"/>
    <col min="8716" max="8716" width="13.7265625" style="515" customWidth="1"/>
    <col min="8717" max="8960" width="11.453125" style="515"/>
    <col min="8961" max="8961" width="4.7265625" style="515" customWidth="1"/>
    <col min="8962" max="8962" width="7.81640625" style="515" customWidth="1"/>
    <col min="8963" max="8963" width="2.81640625" style="515" customWidth="1"/>
    <col min="8964" max="8964" width="10.26953125" style="515" customWidth="1"/>
    <col min="8965" max="8965" width="7" style="515" customWidth="1"/>
    <col min="8966" max="8966" width="11.453125" style="515" customWidth="1"/>
    <col min="8967" max="8967" width="3.453125" style="515" customWidth="1"/>
    <col min="8968" max="8968" width="15.81640625" style="515" customWidth="1"/>
    <col min="8969" max="8969" width="3.81640625" style="515" customWidth="1"/>
    <col min="8970" max="8970" width="7" style="515" customWidth="1"/>
    <col min="8971" max="8971" width="3.81640625" style="515" customWidth="1"/>
    <col min="8972" max="8972" width="13.7265625" style="515" customWidth="1"/>
    <col min="8973" max="9216" width="11.453125" style="515"/>
    <col min="9217" max="9217" width="4.7265625" style="515" customWidth="1"/>
    <col min="9218" max="9218" width="7.81640625" style="515" customWidth="1"/>
    <col min="9219" max="9219" width="2.81640625" style="515" customWidth="1"/>
    <col min="9220" max="9220" width="10.26953125" style="515" customWidth="1"/>
    <col min="9221" max="9221" width="7" style="515" customWidth="1"/>
    <col min="9222" max="9222" width="11.453125" style="515" customWidth="1"/>
    <col min="9223" max="9223" width="3.453125" style="515" customWidth="1"/>
    <col min="9224" max="9224" width="15.81640625" style="515" customWidth="1"/>
    <col min="9225" max="9225" width="3.81640625" style="515" customWidth="1"/>
    <col min="9226" max="9226" width="7" style="515" customWidth="1"/>
    <col min="9227" max="9227" width="3.81640625" style="515" customWidth="1"/>
    <col min="9228" max="9228" width="13.7265625" style="515" customWidth="1"/>
    <col min="9229" max="9472" width="11.453125" style="515"/>
    <col min="9473" max="9473" width="4.7265625" style="515" customWidth="1"/>
    <col min="9474" max="9474" width="7.81640625" style="515" customWidth="1"/>
    <col min="9475" max="9475" width="2.81640625" style="515" customWidth="1"/>
    <col min="9476" max="9476" width="10.26953125" style="515" customWidth="1"/>
    <col min="9477" max="9477" width="7" style="515" customWidth="1"/>
    <col min="9478" max="9478" width="11.453125" style="515" customWidth="1"/>
    <col min="9479" max="9479" width="3.453125" style="515" customWidth="1"/>
    <col min="9480" max="9480" width="15.81640625" style="515" customWidth="1"/>
    <col min="9481" max="9481" width="3.81640625" style="515" customWidth="1"/>
    <col min="9482" max="9482" width="7" style="515" customWidth="1"/>
    <col min="9483" max="9483" width="3.81640625" style="515" customWidth="1"/>
    <col min="9484" max="9484" width="13.7265625" style="515" customWidth="1"/>
    <col min="9485" max="9728" width="11.453125" style="515"/>
    <col min="9729" max="9729" width="4.7265625" style="515" customWidth="1"/>
    <col min="9730" max="9730" width="7.81640625" style="515" customWidth="1"/>
    <col min="9731" max="9731" width="2.81640625" style="515" customWidth="1"/>
    <col min="9732" max="9732" width="10.26953125" style="515" customWidth="1"/>
    <col min="9733" max="9733" width="7" style="515" customWidth="1"/>
    <col min="9734" max="9734" width="11.453125" style="515" customWidth="1"/>
    <col min="9735" max="9735" width="3.453125" style="515" customWidth="1"/>
    <col min="9736" max="9736" width="15.81640625" style="515" customWidth="1"/>
    <col min="9737" max="9737" width="3.81640625" style="515" customWidth="1"/>
    <col min="9738" max="9738" width="7" style="515" customWidth="1"/>
    <col min="9739" max="9739" width="3.81640625" style="515" customWidth="1"/>
    <col min="9740" max="9740" width="13.7265625" style="515" customWidth="1"/>
    <col min="9741" max="9984" width="11.453125" style="515"/>
    <col min="9985" max="9985" width="4.7265625" style="515" customWidth="1"/>
    <col min="9986" max="9986" width="7.81640625" style="515" customWidth="1"/>
    <col min="9987" max="9987" width="2.81640625" style="515" customWidth="1"/>
    <col min="9988" max="9988" width="10.26953125" style="515" customWidth="1"/>
    <col min="9989" max="9989" width="7" style="515" customWidth="1"/>
    <col min="9990" max="9990" width="11.453125" style="515" customWidth="1"/>
    <col min="9991" max="9991" width="3.453125" style="515" customWidth="1"/>
    <col min="9992" max="9992" width="15.81640625" style="515" customWidth="1"/>
    <col min="9993" max="9993" width="3.81640625" style="515" customWidth="1"/>
    <col min="9994" max="9994" width="7" style="515" customWidth="1"/>
    <col min="9995" max="9995" width="3.81640625" style="515" customWidth="1"/>
    <col min="9996" max="9996" width="13.7265625" style="515" customWidth="1"/>
    <col min="9997" max="10240" width="11.453125" style="515"/>
    <col min="10241" max="10241" width="4.7265625" style="515" customWidth="1"/>
    <col min="10242" max="10242" width="7.81640625" style="515" customWidth="1"/>
    <col min="10243" max="10243" width="2.81640625" style="515" customWidth="1"/>
    <col min="10244" max="10244" width="10.26953125" style="515" customWidth="1"/>
    <col min="10245" max="10245" width="7" style="515" customWidth="1"/>
    <col min="10246" max="10246" width="11.453125" style="515" customWidth="1"/>
    <col min="10247" max="10247" width="3.453125" style="515" customWidth="1"/>
    <col min="10248" max="10248" width="15.81640625" style="515" customWidth="1"/>
    <col min="10249" max="10249" width="3.81640625" style="515" customWidth="1"/>
    <col min="10250" max="10250" width="7" style="515" customWidth="1"/>
    <col min="10251" max="10251" width="3.81640625" style="515" customWidth="1"/>
    <col min="10252" max="10252" width="13.7265625" style="515" customWidth="1"/>
    <col min="10253" max="10496" width="11.453125" style="515"/>
    <col min="10497" max="10497" width="4.7265625" style="515" customWidth="1"/>
    <col min="10498" max="10498" width="7.81640625" style="515" customWidth="1"/>
    <col min="10499" max="10499" width="2.81640625" style="515" customWidth="1"/>
    <col min="10500" max="10500" width="10.26953125" style="515" customWidth="1"/>
    <col min="10501" max="10501" width="7" style="515" customWidth="1"/>
    <col min="10502" max="10502" width="11.453125" style="515" customWidth="1"/>
    <col min="10503" max="10503" width="3.453125" style="515" customWidth="1"/>
    <col min="10504" max="10504" width="15.81640625" style="515" customWidth="1"/>
    <col min="10505" max="10505" width="3.81640625" style="515" customWidth="1"/>
    <col min="10506" max="10506" width="7" style="515" customWidth="1"/>
    <col min="10507" max="10507" width="3.81640625" style="515" customWidth="1"/>
    <col min="10508" max="10508" width="13.7265625" style="515" customWidth="1"/>
    <col min="10509" max="10752" width="11.453125" style="515"/>
    <col min="10753" max="10753" width="4.7265625" style="515" customWidth="1"/>
    <col min="10754" max="10754" width="7.81640625" style="515" customWidth="1"/>
    <col min="10755" max="10755" width="2.81640625" style="515" customWidth="1"/>
    <col min="10756" max="10756" width="10.26953125" style="515" customWidth="1"/>
    <col min="10757" max="10757" width="7" style="515" customWidth="1"/>
    <col min="10758" max="10758" width="11.453125" style="515" customWidth="1"/>
    <col min="10759" max="10759" width="3.453125" style="515" customWidth="1"/>
    <col min="10760" max="10760" width="15.81640625" style="515" customWidth="1"/>
    <col min="10761" max="10761" width="3.81640625" style="515" customWidth="1"/>
    <col min="10762" max="10762" width="7" style="515" customWidth="1"/>
    <col min="10763" max="10763" width="3.81640625" style="515" customWidth="1"/>
    <col min="10764" max="10764" width="13.7265625" style="515" customWidth="1"/>
    <col min="10765" max="11008" width="11.453125" style="515"/>
    <col min="11009" max="11009" width="4.7265625" style="515" customWidth="1"/>
    <col min="11010" max="11010" width="7.81640625" style="515" customWidth="1"/>
    <col min="11011" max="11011" width="2.81640625" style="515" customWidth="1"/>
    <col min="11012" max="11012" width="10.26953125" style="515" customWidth="1"/>
    <col min="11013" max="11013" width="7" style="515" customWidth="1"/>
    <col min="11014" max="11014" width="11.453125" style="515" customWidth="1"/>
    <col min="11015" max="11015" width="3.453125" style="515" customWidth="1"/>
    <col min="11016" max="11016" width="15.81640625" style="515" customWidth="1"/>
    <col min="11017" max="11017" width="3.81640625" style="515" customWidth="1"/>
    <col min="11018" max="11018" width="7" style="515" customWidth="1"/>
    <col min="11019" max="11019" width="3.81640625" style="515" customWidth="1"/>
    <col min="11020" max="11020" width="13.7265625" style="515" customWidth="1"/>
    <col min="11021" max="11264" width="11.453125" style="515"/>
    <col min="11265" max="11265" width="4.7265625" style="515" customWidth="1"/>
    <col min="11266" max="11266" width="7.81640625" style="515" customWidth="1"/>
    <col min="11267" max="11267" width="2.81640625" style="515" customWidth="1"/>
    <col min="11268" max="11268" width="10.26953125" style="515" customWidth="1"/>
    <col min="11269" max="11269" width="7" style="515" customWidth="1"/>
    <col min="11270" max="11270" width="11.453125" style="515" customWidth="1"/>
    <col min="11271" max="11271" width="3.453125" style="515" customWidth="1"/>
    <col min="11272" max="11272" width="15.81640625" style="515" customWidth="1"/>
    <col min="11273" max="11273" width="3.81640625" style="515" customWidth="1"/>
    <col min="11274" max="11274" width="7" style="515" customWidth="1"/>
    <col min="11275" max="11275" width="3.81640625" style="515" customWidth="1"/>
    <col min="11276" max="11276" width="13.7265625" style="515" customWidth="1"/>
    <col min="11277" max="11520" width="11.453125" style="515"/>
    <col min="11521" max="11521" width="4.7265625" style="515" customWidth="1"/>
    <col min="11522" max="11522" width="7.81640625" style="515" customWidth="1"/>
    <col min="11523" max="11523" width="2.81640625" style="515" customWidth="1"/>
    <col min="11524" max="11524" width="10.26953125" style="515" customWidth="1"/>
    <col min="11525" max="11525" width="7" style="515" customWidth="1"/>
    <col min="11526" max="11526" width="11.453125" style="515" customWidth="1"/>
    <col min="11527" max="11527" width="3.453125" style="515" customWidth="1"/>
    <col min="11528" max="11528" width="15.81640625" style="515" customWidth="1"/>
    <col min="11529" max="11529" width="3.81640625" style="515" customWidth="1"/>
    <col min="11530" max="11530" width="7" style="515" customWidth="1"/>
    <col min="11531" max="11531" width="3.81640625" style="515" customWidth="1"/>
    <col min="11532" max="11532" width="13.7265625" style="515" customWidth="1"/>
    <col min="11533" max="11776" width="11.453125" style="515"/>
    <col min="11777" max="11777" width="4.7265625" style="515" customWidth="1"/>
    <col min="11778" max="11778" width="7.81640625" style="515" customWidth="1"/>
    <col min="11779" max="11779" width="2.81640625" style="515" customWidth="1"/>
    <col min="11780" max="11780" width="10.26953125" style="515" customWidth="1"/>
    <col min="11781" max="11781" width="7" style="515" customWidth="1"/>
    <col min="11782" max="11782" width="11.453125" style="515" customWidth="1"/>
    <col min="11783" max="11783" width="3.453125" style="515" customWidth="1"/>
    <col min="11784" max="11784" width="15.81640625" style="515" customWidth="1"/>
    <col min="11785" max="11785" width="3.81640625" style="515" customWidth="1"/>
    <col min="11786" max="11786" width="7" style="515" customWidth="1"/>
    <col min="11787" max="11787" width="3.81640625" style="515" customWidth="1"/>
    <col min="11788" max="11788" width="13.7265625" style="515" customWidth="1"/>
    <col min="11789" max="12032" width="11.453125" style="515"/>
    <col min="12033" max="12033" width="4.7265625" style="515" customWidth="1"/>
    <col min="12034" max="12034" width="7.81640625" style="515" customWidth="1"/>
    <col min="12035" max="12035" width="2.81640625" style="515" customWidth="1"/>
    <col min="12036" max="12036" width="10.26953125" style="515" customWidth="1"/>
    <col min="12037" max="12037" width="7" style="515" customWidth="1"/>
    <col min="12038" max="12038" width="11.453125" style="515" customWidth="1"/>
    <col min="12039" max="12039" width="3.453125" style="515" customWidth="1"/>
    <col min="12040" max="12040" width="15.81640625" style="515" customWidth="1"/>
    <col min="12041" max="12041" width="3.81640625" style="515" customWidth="1"/>
    <col min="12042" max="12042" width="7" style="515" customWidth="1"/>
    <col min="12043" max="12043" width="3.81640625" style="515" customWidth="1"/>
    <col min="12044" max="12044" width="13.7265625" style="515" customWidth="1"/>
    <col min="12045" max="12288" width="11.453125" style="515"/>
    <col min="12289" max="12289" width="4.7265625" style="515" customWidth="1"/>
    <col min="12290" max="12290" width="7.81640625" style="515" customWidth="1"/>
    <col min="12291" max="12291" width="2.81640625" style="515" customWidth="1"/>
    <col min="12292" max="12292" width="10.26953125" style="515" customWidth="1"/>
    <col min="12293" max="12293" width="7" style="515" customWidth="1"/>
    <col min="12294" max="12294" width="11.453125" style="515" customWidth="1"/>
    <col min="12295" max="12295" width="3.453125" style="515" customWidth="1"/>
    <col min="12296" max="12296" width="15.81640625" style="515" customWidth="1"/>
    <col min="12297" max="12297" width="3.81640625" style="515" customWidth="1"/>
    <col min="12298" max="12298" width="7" style="515" customWidth="1"/>
    <col min="12299" max="12299" width="3.81640625" style="515" customWidth="1"/>
    <col min="12300" max="12300" width="13.7265625" style="515" customWidth="1"/>
    <col min="12301" max="12544" width="11.453125" style="515"/>
    <col min="12545" max="12545" width="4.7265625" style="515" customWidth="1"/>
    <col min="12546" max="12546" width="7.81640625" style="515" customWidth="1"/>
    <col min="12547" max="12547" width="2.81640625" style="515" customWidth="1"/>
    <col min="12548" max="12548" width="10.26953125" style="515" customWidth="1"/>
    <col min="12549" max="12549" width="7" style="515" customWidth="1"/>
    <col min="12550" max="12550" width="11.453125" style="515" customWidth="1"/>
    <col min="12551" max="12551" width="3.453125" style="515" customWidth="1"/>
    <col min="12552" max="12552" width="15.81640625" style="515" customWidth="1"/>
    <col min="12553" max="12553" width="3.81640625" style="515" customWidth="1"/>
    <col min="12554" max="12554" width="7" style="515" customWidth="1"/>
    <col min="12555" max="12555" width="3.81640625" style="515" customWidth="1"/>
    <col min="12556" max="12556" width="13.7265625" style="515" customWidth="1"/>
    <col min="12557" max="12800" width="11.453125" style="515"/>
    <col min="12801" max="12801" width="4.7265625" style="515" customWidth="1"/>
    <col min="12802" max="12802" width="7.81640625" style="515" customWidth="1"/>
    <col min="12803" max="12803" width="2.81640625" style="515" customWidth="1"/>
    <col min="12804" max="12804" width="10.26953125" style="515" customWidth="1"/>
    <col min="12805" max="12805" width="7" style="515" customWidth="1"/>
    <col min="12806" max="12806" width="11.453125" style="515" customWidth="1"/>
    <col min="12807" max="12807" width="3.453125" style="515" customWidth="1"/>
    <col min="12808" max="12808" width="15.81640625" style="515" customWidth="1"/>
    <col min="12809" max="12809" width="3.81640625" style="515" customWidth="1"/>
    <col min="12810" max="12810" width="7" style="515" customWidth="1"/>
    <col min="12811" max="12811" width="3.81640625" style="515" customWidth="1"/>
    <col min="12812" max="12812" width="13.7265625" style="515" customWidth="1"/>
    <col min="12813" max="13056" width="11.453125" style="515"/>
    <col min="13057" max="13057" width="4.7265625" style="515" customWidth="1"/>
    <col min="13058" max="13058" width="7.81640625" style="515" customWidth="1"/>
    <col min="13059" max="13059" width="2.81640625" style="515" customWidth="1"/>
    <col min="13060" max="13060" width="10.26953125" style="515" customWidth="1"/>
    <col min="13061" max="13061" width="7" style="515" customWidth="1"/>
    <col min="13062" max="13062" width="11.453125" style="515" customWidth="1"/>
    <col min="13063" max="13063" width="3.453125" style="515" customWidth="1"/>
    <col min="13064" max="13064" width="15.81640625" style="515" customWidth="1"/>
    <col min="13065" max="13065" width="3.81640625" style="515" customWidth="1"/>
    <col min="13066" max="13066" width="7" style="515" customWidth="1"/>
    <col min="13067" max="13067" width="3.81640625" style="515" customWidth="1"/>
    <col min="13068" max="13068" width="13.7265625" style="515" customWidth="1"/>
    <col min="13069" max="13312" width="11.453125" style="515"/>
    <col min="13313" max="13313" width="4.7265625" style="515" customWidth="1"/>
    <col min="13314" max="13314" width="7.81640625" style="515" customWidth="1"/>
    <col min="13315" max="13315" width="2.81640625" style="515" customWidth="1"/>
    <col min="13316" max="13316" width="10.26953125" style="515" customWidth="1"/>
    <col min="13317" max="13317" width="7" style="515" customWidth="1"/>
    <col min="13318" max="13318" width="11.453125" style="515" customWidth="1"/>
    <col min="13319" max="13319" width="3.453125" style="515" customWidth="1"/>
    <col min="13320" max="13320" width="15.81640625" style="515" customWidth="1"/>
    <col min="13321" max="13321" width="3.81640625" style="515" customWidth="1"/>
    <col min="13322" max="13322" width="7" style="515" customWidth="1"/>
    <col min="13323" max="13323" width="3.81640625" style="515" customWidth="1"/>
    <col min="13324" max="13324" width="13.7265625" style="515" customWidth="1"/>
    <col min="13325" max="13568" width="11.453125" style="515"/>
    <col min="13569" max="13569" width="4.7265625" style="515" customWidth="1"/>
    <col min="13570" max="13570" width="7.81640625" style="515" customWidth="1"/>
    <col min="13571" max="13571" width="2.81640625" style="515" customWidth="1"/>
    <col min="13572" max="13572" width="10.26953125" style="515" customWidth="1"/>
    <col min="13573" max="13573" width="7" style="515" customWidth="1"/>
    <col min="13574" max="13574" width="11.453125" style="515" customWidth="1"/>
    <col min="13575" max="13575" width="3.453125" style="515" customWidth="1"/>
    <col min="13576" max="13576" width="15.81640625" style="515" customWidth="1"/>
    <col min="13577" max="13577" width="3.81640625" style="515" customWidth="1"/>
    <col min="13578" max="13578" width="7" style="515" customWidth="1"/>
    <col min="13579" max="13579" width="3.81640625" style="515" customWidth="1"/>
    <col min="13580" max="13580" width="13.7265625" style="515" customWidth="1"/>
    <col min="13581" max="13824" width="11.453125" style="515"/>
    <col min="13825" max="13825" width="4.7265625" style="515" customWidth="1"/>
    <col min="13826" max="13826" width="7.81640625" style="515" customWidth="1"/>
    <col min="13827" max="13827" width="2.81640625" style="515" customWidth="1"/>
    <col min="13828" max="13828" width="10.26953125" style="515" customWidth="1"/>
    <col min="13829" max="13829" width="7" style="515" customWidth="1"/>
    <col min="13830" max="13830" width="11.453125" style="515" customWidth="1"/>
    <col min="13831" max="13831" width="3.453125" style="515" customWidth="1"/>
    <col min="13832" max="13832" width="15.81640625" style="515" customWidth="1"/>
    <col min="13833" max="13833" width="3.81640625" style="515" customWidth="1"/>
    <col min="13834" max="13834" width="7" style="515" customWidth="1"/>
    <col min="13835" max="13835" width="3.81640625" style="515" customWidth="1"/>
    <col min="13836" max="13836" width="13.7265625" style="515" customWidth="1"/>
    <col min="13837" max="14080" width="11.453125" style="515"/>
    <col min="14081" max="14081" width="4.7265625" style="515" customWidth="1"/>
    <col min="14082" max="14082" width="7.81640625" style="515" customWidth="1"/>
    <col min="14083" max="14083" width="2.81640625" style="515" customWidth="1"/>
    <col min="14084" max="14084" width="10.26953125" style="515" customWidth="1"/>
    <col min="14085" max="14085" width="7" style="515" customWidth="1"/>
    <col min="14086" max="14086" width="11.453125" style="515" customWidth="1"/>
    <col min="14087" max="14087" width="3.453125" style="515" customWidth="1"/>
    <col min="14088" max="14088" width="15.81640625" style="515" customWidth="1"/>
    <col min="14089" max="14089" width="3.81640625" style="515" customWidth="1"/>
    <col min="14090" max="14090" width="7" style="515" customWidth="1"/>
    <col min="14091" max="14091" width="3.81640625" style="515" customWidth="1"/>
    <col min="14092" max="14092" width="13.7265625" style="515" customWidth="1"/>
    <col min="14093" max="14336" width="11.453125" style="515"/>
    <col min="14337" max="14337" width="4.7265625" style="515" customWidth="1"/>
    <col min="14338" max="14338" width="7.81640625" style="515" customWidth="1"/>
    <col min="14339" max="14339" width="2.81640625" style="515" customWidth="1"/>
    <col min="14340" max="14340" width="10.26953125" style="515" customWidth="1"/>
    <col min="14341" max="14341" width="7" style="515" customWidth="1"/>
    <col min="14342" max="14342" width="11.453125" style="515" customWidth="1"/>
    <col min="14343" max="14343" width="3.453125" style="515" customWidth="1"/>
    <col min="14344" max="14344" width="15.81640625" style="515" customWidth="1"/>
    <col min="14345" max="14345" width="3.81640625" style="515" customWidth="1"/>
    <col min="14346" max="14346" width="7" style="515" customWidth="1"/>
    <col min="14347" max="14347" width="3.81640625" style="515" customWidth="1"/>
    <col min="14348" max="14348" width="13.7265625" style="515" customWidth="1"/>
    <col min="14349" max="14592" width="11.453125" style="515"/>
    <col min="14593" max="14593" width="4.7265625" style="515" customWidth="1"/>
    <col min="14594" max="14594" width="7.81640625" style="515" customWidth="1"/>
    <col min="14595" max="14595" width="2.81640625" style="515" customWidth="1"/>
    <col min="14596" max="14596" width="10.26953125" style="515" customWidth="1"/>
    <col min="14597" max="14597" width="7" style="515" customWidth="1"/>
    <col min="14598" max="14598" width="11.453125" style="515" customWidth="1"/>
    <col min="14599" max="14599" width="3.453125" style="515" customWidth="1"/>
    <col min="14600" max="14600" width="15.81640625" style="515" customWidth="1"/>
    <col min="14601" max="14601" width="3.81640625" style="515" customWidth="1"/>
    <col min="14602" max="14602" width="7" style="515" customWidth="1"/>
    <col min="14603" max="14603" width="3.81640625" style="515" customWidth="1"/>
    <col min="14604" max="14604" width="13.7265625" style="515" customWidth="1"/>
    <col min="14605" max="14848" width="11.453125" style="515"/>
    <col min="14849" max="14849" width="4.7265625" style="515" customWidth="1"/>
    <col min="14850" max="14850" width="7.81640625" style="515" customWidth="1"/>
    <col min="14851" max="14851" width="2.81640625" style="515" customWidth="1"/>
    <col min="14852" max="14852" width="10.26953125" style="515" customWidth="1"/>
    <col min="14853" max="14853" width="7" style="515" customWidth="1"/>
    <col min="14854" max="14854" width="11.453125" style="515" customWidth="1"/>
    <col min="14855" max="14855" width="3.453125" style="515" customWidth="1"/>
    <col min="14856" max="14856" width="15.81640625" style="515" customWidth="1"/>
    <col min="14857" max="14857" width="3.81640625" style="515" customWidth="1"/>
    <col min="14858" max="14858" width="7" style="515" customWidth="1"/>
    <col min="14859" max="14859" width="3.81640625" style="515" customWidth="1"/>
    <col min="14860" max="14860" width="13.7265625" style="515" customWidth="1"/>
    <col min="14861" max="15104" width="11.453125" style="515"/>
    <col min="15105" max="15105" width="4.7265625" style="515" customWidth="1"/>
    <col min="15106" max="15106" width="7.81640625" style="515" customWidth="1"/>
    <col min="15107" max="15107" width="2.81640625" style="515" customWidth="1"/>
    <col min="15108" max="15108" width="10.26953125" style="515" customWidth="1"/>
    <col min="15109" max="15109" width="7" style="515" customWidth="1"/>
    <col min="15110" max="15110" width="11.453125" style="515" customWidth="1"/>
    <col min="15111" max="15111" width="3.453125" style="515" customWidth="1"/>
    <col min="15112" max="15112" width="15.81640625" style="515" customWidth="1"/>
    <col min="15113" max="15113" width="3.81640625" style="515" customWidth="1"/>
    <col min="15114" max="15114" width="7" style="515" customWidth="1"/>
    <col min="15115" max="15115" width="3.81640625" style="515" customWidth="1"/>
    <col min="15116" max="15116" width="13.7265625" style="515" customWidth="1"/>
    <col min="15117" max="15360" width="11.453125" style="515"/>
    <col min="15361" max="15361" width="4.7265625" style="515" customWidth="1"/>
    <col min="15362" max="15362" width="7.81640625" style="515" customWidth="1"/>
    <col min="15363" max="15363" width="2.81640625" style="515" customWidth="1"/>
    <col min="15364" max="15364" width="10.26953125" style="515" customWidth="1"/>
    <col min="15365" max="15365" width="7" style="515" customWidth="1"/>
    <col min="15366" max="15366" width="11.453125" style="515" customWidth="1"/>
    <col min="15367" max="15367" width="3.453125" style="515" customWidth="1"/>
    <col min="15368" max="15368" width="15.81640625" style="515" customWidth="1"/>
    <col min="15369" max="15369" width="3.81640625" style="515" customWidth="1"/>
    <col min="15370" max="15370" width="7" style="515" customWidth="1"/>
    <col min="15371" max="15371" width="3.81640625" style="515" customWidth="1"/>
    <col min="15372" max="15372" width="13.7265625" style="515" customWidth="1"/>
    <col min="15373" max="15616" width="11.453125" style="515"/>
    <col min="15617" max="15617" width="4.7265625" style="515" customWidth="1"/>
    <col min="15618" max="15618" width="7.81640625" style="515" customWidth="1"/>
    <col min="15619" max="15619" width="2.81640625" style="515" customWidth="1"/>
    <col min="15620" max="15620" width="10.26953125" style="515" customWidth="1"/>
    <col min="15621" max="15621" width="7" style="515" customWidth="1"/>
    <col min="15622" max="15622" width="11.453125" style="515" customWidth="1"/>
    <col min="15623" max="15623" width="3.453125" style="515" customWidth="1"/>
    <col min="15624" max="15624" width="15.81640625" style="515" customWidth="1"/>
    <col min="15625" max="15625" width="3.81640625" style="515" customWidth="1"/>
    <col min="15626" max="15626" width="7" style="515" customWidth="1"/>
    <col min="15627" max="15627" width="3.81640625" style="515" customWidth="1"/>
    <col min="15628" max="15628" width="13.7265625" style="515" customWidth="1"/>
    <col min="15629" max="15872" width="11.453125" style="515"/>
    <col min="15873" max="15873" width="4.7265625" style="515" customWidth="1"/>
    <col min="15874" max="15874" width="7.81640625" style="515" customWidth="1"/>
    <col min="15875" max="15875" width="2.81640625" style="515" customWidth="1"/>
    <col min="15876" max="15876" width="10.26953125" style="515" customWidth="1"/>
    <col min="15877" max="15877" width="7" style="515" customWidth="1"/>
    <col min="15878" max="15878" width="11.453125" style="515" customWidth="1"/>
    <col min="15879" max="15879" width="3.453125" style="515" customWidth="1"/>
    <col min="15880" max="15880" width="15.81640625" style="515" customWidth="1"/>
    <col min="15881" max="15881" width="3.81640625" style="515" customWidth="1"/>
    <col min="15882" max="15882" width="7" style="515" customWidth="1"/>
    <col min="15883" max="15883" width="3.81640625" style="515" customWidth="1"/>
    <col min="15884" max="15884" width="13.7265625" style="515" customWidth="1"/>
    <col min="15885" max="16128" width="11.453125" style="515"/>
    <col min="16129" max="16129" width="4.7265625" style="515" customWidth="1"/>
    <col min="16130" max="16130" width="7.81640625" style="515" customWidth="1"/>
    <col min="16131" max="16131" width="2.81640625" style="515" customWidth="1"/>
    <col min="16132" max="16132" width="10.26953125" style="515" customWidth="1"/>
    <col min="16133" max="16133" width="7" style="515" customWidth="1"/>
    <col min="16134" max="16134" width="11.453125" style="515" customWidth="1"/>
    <col min="16135" max="16135" width="3.453125" style="515" customWidth="1"/>
    <col min="16136" max="16136" width="15.81640625" style="515" customWidth="1"/>
    <col min="16137" max="16137" width="3.81640625" style="515" customWidth="1"/>
    <col min="16138" max="16138" width="7" style="515" customWidth="1"/>
    <col min="16139" max="16139" width="3.81640625" style="515" customWidth="1"/>
    <col min="16140" max="16140" width="13.7265625" style="515" customWidth="1"/>
    <col min="16141" max="16384" width="11.453125" style="515"/>
  </cols>
  <sheetData>
    <row r="1" spans="2:13"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</row>
    <row r="2" spans="2:13" ht="15.5">
      <c r="B2" s="1005" t="s">
        <v>3</v>
      </c>
      <c r="C2" s="1005"/>
      <c r="D2" s="1005"/>
      <c r="E2" s="1005"/>
      <c r="F2" s="1005"/>
      <c r="G2" s="1005"/>
      <c r="H2" s="1005"/>
      <c r="I2" s="1005"/>
      <c r="J2" s="1005"/>
      <c r="K2" s="1005"/>
      <c r="L2" s="1005"/>
    </row>
    <row r="3" spans="2:13">
      <c r="B3" s="514"/>
      <c r="C3" s="514"/>
      <c r="D3" s="514"/>
      <c r="E3" s="514"/>
      <c r="F3" s="514"/>
      <c r="G3" s="514"/>
      <c r="H3" s="514"/>
      <c r="I3" s="514"/>
      <c r="J3" s="514"/>
      <c r="K3" s="514"/>
      <c r="L3" s="514"/>
    </row>
    <row r="4" spans="2:13" ht="15.5">
      <c r="B4" s="1005" t="s">
        <v>293</v>
      </c>
      <c r="C4" s="1005"/>
      <c r="D4" s="1005"/>
      <c r="E4" s="1005"/>
      <c r="F4" s="1005"/>
      <c r="G4" s="1005"/>
      <c r="H4" s="1005"/>
      <c r="I4" s="1005"/>
      <c r="J4" s="1005"/>
      <c r="K4" s="1005"/>
      <c r="L4" s="1005"/>
    </row>
    <row r="5" spans="2:13" ht="15.5">
      <c r="B5" s="1005" t="s">
        <v>294</v>
      </c>
      <c r="C5" s="1005"/>
      <c r="D5" s="1005"/>
      <c r="E5" s="1005"/>
      <c r="F5" s="1005"/>
      <c r="G5" s="1005"/>
      <c r="H5" s="1005"/>
      <c r="I5" s="1005"/>
      <c r="J5" s="1005"/>
      <c r="K5" s="1005"/>
      <c r="L5" s="1005"/>
    </row>
    <row r="6" spans="2:13" ht="16" thickBot="1">
      <c r="B6" s="1006" t="s">
        <v>348</v>
      </c>
      <c r="C6" s="1006"/>
      <c r="D6" s="1006"/>
      <c r="E6" s="1006"/>
      <c r="F6" s="1006"/>
      <c r="G6" s="1006"/>
      <c r="H6" s="1006"/>
      <c r="I6" s="1006"/>
      <c r="J6" s="1006"/>
      <c r="K6" s="1006"/>
      <c r="L6" s="1006"/>
    </row>
    <row r="7" spans="2:13" ht="13">
      <c r="B7" s="516" t="s">
        <v>295</v>
      </c>
      <c r="C7" s="517"/>
      <c r="D7" s="517"/>
      <c r="E7" s="517"/>
      <c r="F7" s="517"/>
      <c r="G7" s="517"/>
      <c r="H7" s="565">
        <v>44348</v>
      </c>
      <c r="I7" s="517"/>
      <c r="J7" s="517"/>
      <c r="K7" s="517"/>
      <c r="L7" s="518"/>
    </row>
    <row r="8" spans="2:13" ht="15.5" thickBot="1">
      <c r="B8" s="519" t="s">
        <v>296</v>
      </c>
      <c r="C8" s="520" t="s">
        <v>297</v>
      </c>
      <c r="D8" s="520" t="s">
        <v>298</v>
      </c>
      <c r="E8" s="520"/>
      <c r="F8" s="520"/>
      <c r="G8" s="520"/>
      <c r="H8" s="520"/>
      <c r="I8" s="520"/>
      <c r="J8" s="563">
        <f>AB40</f>
        <v>104.9</v>
      </c>
      <c r="K8" s="520"/>
      <c r="L8" s="521">
        <f>+H7</f>
        <v>44348</v>
      </c>
      <c r="M8" s="522"/>
    </row>
    <row r="9" spans="2:13" ht="13" thickBot="1">
      <c r="B9" s="514"/>
      <c r="C9" s="514"/>
      <c r="D9" s="514"/>
      <c r="E9" s="514"/>
      <c r="F9" s="514"/>
      <c r="G9" s="514"/>
      <c r="H9" s="514"/>
      <c r="I9" s="514"/>
      <c r="J9" s="514"/>
      <c r="K9" s="514"/>
      <c r="L9" s="514"/>
    </row>
    <row r="10" spans="2:13" ht="15.5">
      <c r="B10" s="516" t="s">
        <v>299</v>
      </c>
      <c r="C10" s="523"/>
      <c r="D10" s="523"/>
      <c r="E10" s="517"/>
      <c r="F10" s="517"/>
      <c r="G10" s="517"/>
      <c r="H10" s="565">
        <v>44743</v>
      </c>
      <c r="I10" s="524"/>
      <c r="J10" s="524"/>
      <c r="K10" s="524"/>
      <c r="L10" s="518"/>
    </row>
    <row r="11" spans="2:13" ht="15.5" thickBot="1">
      <c r="B11" s="519" t="s">
        <v>300</v>
      </c>
      <c r="C11" s="520" t="s">
        <v>297</v>
      </c>
      <c r="D11" s="520" t="s">
        <v>301</v>
      </c>
      <c r="E11" s="520"/>
      <c r="F11" s="520"/>
      <c r="G11" s="520"/>
      <c r="H11" s="520"/>
      <c r="I11" s="520"/>
      <c r="J11" s="566">
        <v>105.7</v>
      </c>
      <c r="K11" s="520"/>
      <c r="L11" s="521">
        <v>44531</v>
      </c>
    </row>
    <row r="12" spans="2:13" ht="16" thickBot="1">
      <c r="B12" s="525"/>
      <c r="C12" s="526"/>
      <c r="D12" s="526"/>
      <c r="E12" s="514"/>
      <c r="F12" s="514"/>
      <c r="G12" s="514"/>
      <c r="H12" s="527"/>
      <c r="I12" s="558"/>
      <c r="J12" s="558"/>
      <c r="K12" s="558"/>
      <c r="L12" s="514"/>
    </row>
    <row r="13" spans="2:13" ht="13.5" thickBot="1">
      <c r="B13" s="528" t="s">
        <v>302</v>
      </c>
      <c r="C13" s="517"/>
      <c r="D13" s="529"/>
      <c r="E13" s="517"/>
      <c r="F13" s="529"/>
      <c r="G13" s="517"/>
      <c r="H13" s="517"/>
      <c r="I13" s="517"/>
      <c r="J13" s="517"/>
      <c r="K13" s="517"/>
      <c r="L13" s="518"/>
    </row>
    <row r="14" spans="2:13" ht="16" thickBot="1">
      <c r="B14" s="530"/>
      <c r="C14" s="531"/>
      <c r="D14" s="532" t="s">
        <v>303</v>
      </c>
      <c r="E14" s="1000" t="s">
        <v>297</v>
      </c>
      <c r="F14" s="533">
        <f>+J11</f>
        <v>105.7</v>
      </c>
      <c r="G14" s="1000" t="s">
        <v>297</v>
      </c>
      <c r="H14" s="1002">
        <f>+J11/J8</f>
        <v>1.0076263107721639</v>
      </c>
      <c r="I14" s="1007"/>
      <c r="J14" s="1007"/>
      <c r="K14" s="514"/>
      <c r="L14" s="534"/>
    </row>
    <row r="15" spans="2:13" ht="16" thickBot="1">
      <c r="B15" s="530"/>
      <c r="C15" s="535"/>
      <c r="D15" s="536" t="s">
        <v>304</v>
      </c>
      <c r="E15" s="1001"/>
      <c r="F15" s="533">
        <f>+J8</f>
        <v>104.9</v>
      </c>
      <c r="G15" s="1001"/>
      <c r="H15" s="1003"/>
      <c r="I15" s="1007"/>
      <c r="J15" s="1007"/>
      <c r="K15" s="514"/>
      <c r="L15" s="534"/>
    </row>
    <row r="16" spans="2:13" ht="16" thickBot="1">
      <c r="B16" s="530"/>
      <c r="C16" s="514"/>
      <c r="D16" s="537"/>
      <c r="E16" s="559"/>
      <c r="F16" s="538"/>
      <c r="G16" s="559"/>
      <c r="H16" s="559"/>
      <c r="I16" s="559"/>
      <c r="J16" s="559"/>
      <c r="K16" s="514"/>
      <c r="L16" s="534"/>
    </row>
    <row r="17" spans="2:32">
      <c r="B17" s="530"/>
      <c r="C17" s="531"/>
      <c r="D17" s="998">
        <f>+H14</f>
        <v>1.0076263107721639</v>
      </c>
      <c r="E17" s="1000" t="s">
        <v>305</v>
      </c>
      <c r="F17" s="1000">
        <v>0.67</v>
      </c>
      <c r="G17" s="1000" t="s">
        <v>297</v>
      </c>
      <c r="H17" s="1002">
        <f>+F17*D17</f>
        <v>0.67510962821734988</v>
      </c>
      <c r="I17" s="559"/>
      <c r="J17" s="559"/>
      <c r="K17" s="514"/>
      <c r="L17" s="534"/>
    </row>
    <row r="18" spans="2:32" ht="13" thickBot="1">
      <c r="B18" s="530"/>
      <c r="C18" s="535"/>
      <c r="D18" s="999"/>
      <c r="E18" s="1001"/>
      <c r="F18" s="1001"/>
      <c r="G18" s="1001"/>
      <c r="H18" s="1003"/>
      <c r="I18" s="514"/>
      <c r="J18" s="514"/>
      <c r="K18" s="514"/>
      <c r="L18" s="534"/>
      <c r="M18" s="1004"/>
    </row>
    <row r="19" spans="2:32" ht="13" thickBot="1">
      <c r="B19" s="530"/>
      <c r="C19" s="514"/>
      <c r="D19" s="537"/>
      <c r="E19" s="559"/>
      <c r="F19" s="559"/>
      <c r="G19" s="559"/>
      <c r="H19" s="559"/>
      <c r="I19" s="514"/>
      <c r="J19" s="514"/>
      <c r="K19" s="514"/>
      <c r="L19" s="534"/>
      <c r="M19" s="1004"/>
    </row>
    <row r="20" spans="2:32" ht="18.5" thickBot="1">
      <c r="B20" s="530"/>
      <c r="C20" s="539"/>
      <c r="D20" s="540">
        <f>+H17</f>
        <v>0.67510962821734988</v>
      </c>
      <c r="E20" s="540" t="s">
        <v>306</v>
      </c>
      <c r="F20" s="540">
        <v>0.33</v>
      </c>
      <c r="G20" s="540" t="s">
        <v>297</v>
      </c>
      <c r="H20" s="541">
        <f>ROUND(+F20+D20,4)</f>
        <v>1.0051000000000001</v>
      </c>
      <c r="I20" s="514"/>
      <c r="K20" s="514"/>
      <c r="L20" s="542">
        <f>+H20</f>
        <v>1.0051000000000001</v>
      </c>
    </row>
    <row r="21" spans="2:32" ht="15.5">
      <c r="B21" s="530"/>
      <c r="C21" s="514"/>
      <c r="D21" s="543"/>
      <c r="E21" s="543"/>
      <c r="F21" s="543"/>
      <c r="G21" s="543"/>
      <c r="H21" s="544"/>
      <c r="I21" s="514"/>
      <c r="J21" s="514"/>
      <c r="K21" s="514"/>
      <c r="L21" s="534"/>
      <c r="M21" s="545"/>
    </row>
    <row r="22" spans="2:32" ht="13" thickBot="1">
      <c r="B22" s="535"/>
      <c r="C22" s="520"/>
      <c r="D22" s="520"/>
      <c r="E22" s="520"/>
      <c r="F22" s="520"/>
      <c r="G22" s="520"/>
      <c r="H22" s="520"/>
      <c r="I22" s="520"/>
      <c r="J22" s="520"/>
      <c r="K22" s="520"/>
      <c r="L22" s="546"/>
    </row>
    <row r="23" spans="2:32">
      <c r="B23" s="514"/>
      <c r="C23" s="514"/>
      <c r="D23" s="514"/>
      <c r="E23" s="514"/>
      <c r="F23" s="514"/>
      <c r="G23" s="514"/>
      <c r="H23" s="514"/>
      <c r="I23" s="514"/>
      <c r="J23" s="514"/>
      <c r="K23" s="514"/>
      <c r="L23" s="514"/>
    </row>
    <row r="24" spans="2:32">
      <c r="B24" s="514"/>
      <c r="C24" s="514"/>
      <c r="D24" s="514"/>
      <c r="E24" s="514"/>
      <c r="F24" s="514"/>
      <c r="G24" s="514"/>
      <c r="H24" s="514"/>
      <c r="I24" s="514"/>
      <c r="J24" s="514"/>
      <c r="K24" s="514"/>
      <c r="L24" s="514"/>
    </row>
    <row r="25" spans="2:32">
      <c r="B25" s="514"/>
      <c r="C25" s="514"/>
      <c r="D25" s="514"/>
      <c r="E25" s="514"/>
      <c r="F25" s="514"/>
      <c r="G25" s="514"/>
      <c r="H25" s="514"/>
      <c r="I25" s="514"/>
      <c r="J25" s="514"/>
      <c r="K25" s="514"/>
      <c r="L25" s="514"/>
    </row>
    <row r="26" spans="2:32">
      <c r="B26" s="514"/>
      <c r="C26" s="514"/>
      <c r="D26" s="514"/>
      <c r="E26" s="514"/>
      <c r="F26" s="514"/>
      <c r="G26" s="514"/>
      <c r="H26" s="514"/>
      <c r="I26" s="514"/>
      <c r="J26" s="514"/>
      <c r="K26" s="514"/>
      <c r="L26" s="514"/>
    </row>
    <row r="27" spans="2:32">
      <c r="B27" s="514"/>
      <c r="C27" s="514"/>
      <c r="D27" s="514"/>
      <c r="E27" s="514"/>
      <c r="F27" s="514"/>
      <c r="G27" s="514"/>
      <c r="H27" s="514"/>
      <c r="I27" s="514"/>
      <c r="J27" s="514"/>
      <c r="K27" s="514"/>
      <c r="L27" s="514"/>
    </row>
    <row r="28" spans="2:32">
      <c r="B28" s="514"/>
      <c r="C28" s="514"/>
      <c r="D28" s="514"/>
      <c r="E28" s="514"/>
      <c r="F28" s="514"/>
      <c r="G28" s="514"/>
      <c r="H28" s="514"/>
      <c r="I28" s="514"/>
      <c r="J28" s="514"/>
      <c r="K28" s="514"/>
      <c r="L28" s="514"/>
    </row>
    <row r="29" spans="2:32">
      <c r="B29" s="514"/>
      <c r="C29" s="514"/>
      <c r="D29" s="514"/>
      <c r="E29" s="514"/>
      <c r="F29" s="514"/>
      <c r="G29" s="514"/>
      <c r="H29" s="514"/>
      <c r="I29" s="514"/>
      <c r="J29" s="514"/>
      <c r="K29" s="514"/>
      <c r="L29" s="514"/>
    </row>
    <row r="30" spans="2:32">
      <c r="B30" s="514"/>
      <c r="C30" s="514"/>
      <c r="D30" s="514"/>
      <c r="E30" s="514"/>
      <c r="F30" s="514"/>
      <c r="G30" s="514"/>
      <c r="H30" s="514"/>
      <c r="I30" s="514"/>
      <c r="J30" s="514"/>
      <c r="K30" s="514"/>
      <c r="L30" s="514"/>
    </row>
    <row r="31" spans="2:32">
      <c r="B31" s="514"/>
      <c r="C31" s="514"/>
      <c r="D31" s="514"/>
      <c r="E31" s="514"/>
      <c r="F31" s="514"/>
      <c r="G31" s="514"/>
      <c r="H31" s="514"/>
      <c r="I31" s="514"/>
      <c r="J31" s="514"/>
      <c r="K31" s="514"/>
      <c r="L31" s="514"/>
      <c r="AE31"/>
      <c r="AF31"/>
    </row>
    <row r="32" spans="2:32" ht="13" thickBot="1">
      <c r="B32" s="514"/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AE32"/>
      <c r="AF32"/>
    </row>
    <row r="33" spans="4:32" ht="14.5" thickBot="1">
      <c r="P33" s="567">
        <v>2016</v>
      </c>
      <c r="Q33" s="1010">
        <v>2017</v>
      </c>
      <c r="R33" s="1010"/>
      <c r="S33" s="1010"/>
      <c r="T33" s="568"/>
      <c r="U33" s="1011">
        <v>2018</v>
      </c>
      <c r="V33" s="1010"/>
      <c r="W33" s="1011">
        <v>2019</v>
      </c>
      <c r="X33" s="1010"/>
      <c r="Y33" s="1010">
        <v>2020</v>
      </c>
      <c r="Z33" s="1010"/>
      <c r="AA33" s="1012">
        <v>2021</v>
      </c>
      <c r="AB33" s="1012"/>
      <c r="AC33" s="569"/>
      <c r="AD33" s="1008">
        <v>2022</v>
      </c>
      <c r="AE33" s="1008"/>
      <c r="AF33" s="1009"/>
    </row>
    <row r="34" spans="4:32" ht="37.5">
      <c r="D34" s="996" t="s">
        <v>307</v>
      </c>
      <c r="E34" s="997"/>
      <c r="P34" s="570" t="s">
        <v>311</v>
      </c>
      <c r="Q34" s="553"/>
      <c r="R34" s="571" t="s">
        <v>312</v>
      </c>
      <c r="S34" s="572" t="s">
        <v>311</v>
      </c>
      <c r="T34" s="573" t="s">
        <v>313</v>
      </c>
      <c r="U34" s="572" t="s">
        <v>314</v>
      </c>
      <c r="V34" s="573" t="s">
        <v>315</v>
      </c>
      <c r="W34" s="572" t="s">
        <v>316</v>
      </c>
      <c r="X34" s="573" t="s">
        <v>317</v>
      </c>
      <c r="Y34" s="572" t="s">
        <v>318</v>
      </c>
      <c r="Z34" s="573" t="s">
        <v>319</v>
      </c>
      <c r="AA34" s="574"/>
      <c r="AB34" s="572" t="s">
        <v>318</v>
      </c>
      <c r="AC34" s="573" t="s">
        <v>319</v>
      </c>
      <c r="AD34" s="574"/>
      <c r="AE34" s="572" t="s">
        <v>320</v>
      </c>
      <c r="AF34" s="573" t="s">
        <v>321</v>
      </c>
    </row>
    <row r="35" spans="4:32" ht="14">
      <c r="D35" s="547">
        <f>+L8</f>
        <v>44348</v>
      </c>
      <c r="E35" s="548">
        <f>+J8</f>
        <v>104.9</v>
      </c>
      <c r="P35" s="575">
        <v>102.6</v>
      </c>
      <c r="Q35" s="576" t="s">
        <v>322</v>
      </c>
      <c r="R35" s="577">
        <v>154.46830000000014</v>
      </c>
      <c r="S35" s="575">
        <v>104.3</v>
      </c>
      <c r="T35" s="562">
        <f>(+(S35/P35)-1)</f>
        <v>1.6569200779727122E-2</v>
      </c>
      <c r="U35" s="575">
        <v>104.7</v>
      </c>
      <c r="V35" s="562">
        <f>(+(U35/S35)-1)</f>
        <v>3.835091083413289E-3</v>
      </c>
      <c r="W35" s="578">
        <v>104.38</v>
      </c>
      <c r="X35" s="562">
        <f>(+(W35/U35)-1)</f>
        <v>-3.0563514804202718E-3</v>
      </c>
      <c r="Y35" s="578">
        <v>104.75229999999998</v>
      </c>
      <c r="Z35" s="562">
        <f>(+(Y35/W35)-1)</f>
        <v>3.5667752442996026E-3</v>
      </c>
      <c r="AA35" s="562">
        <f>(+AB35*AC35)*-1+AB35</f>
        <v>104.10219059629237</v>
      </c>
      <c r="AB35" s="578">
        <v>96.5</v>
      </c>
      <c r="AC35" s="562">
        <f t="shared" ref="AC35:AC45" si="0">(+(AB35/Y35)-1)</f>
        <v>-7.877917716365157E-2</v>
      </c>
      <c r="AD35" s="562">
        <f t="shared" ref="AD35:AD40" si="1">(+AE35*AF35)*-1+AE35</f>
        <v>95.567403320621764</v>
      </c>
      <c r="AE35" s="579">
        <v>105.9866</v>
      </c>
      <c r="AF35" s="562">
        <f>(+(AE35/AB35)-1)</f>
        <v>9.8306735751295227E-2</v>
      </c>
    </row>
    <row r="36" spans="4:32" ht="14">
      <c r="D36" s="549">
        <f>+L11</f>
        <v>44531</v>
      </c>
      <c r="E36" s="550">
        <f>+J11</f>
        <v>105.7</v>
      </c>
      <c r="P36" s="580">
        <v>102.7</v>
      </c>
      <c r="Q36" s="581" t="s">
        <v>323</v>
      </c>
      <c r="R36" s="577">
        <v>154.9126</v>
      </c>
      <c r="S36" s="580">
        <v>104.6</v>
      </c>
      <c r="T36" s="582">
        <f t="shared" ref="T36:T46" si="2">(+(S36/P36)-1)</f>
        <v>1.8500486854917231E-2</v>
      </c>
      <c r="U36" s="580">
        <v>105</v>
      </c>
      <c r="V36" s="582">
        <f t="shared" ref="V36:V46" si="3">(+(U36/S36)-1)</f>
        <v>3.8240917782026429E-3</v>
      </c>
      <c r="W36" s="578">
        <v>104.47</v>
      </c>
      <c r="X36" s="582">
        <f t="shared" ref="X36:X46" si="4">(+(W36/U36)-1)</f>
        <v>-5.0476190476190785E-3</v>
      </c>
      <c r="Y36" s="578">
        <v>104.5</v>
      </c>
      <c r="Z36" s="582">
        <f>(+(Y36/W36)-1)</f>
        <v>2.8716377907533897E-4</v>
      </c>
      <c r="AA36" s="562">
        <f>(+AB36*AC36)*-1+AB36</f>
        <v>103.82478468899522</v>
      </c>
      <c r="AB36" s="578">
        <v>96.1</v>
      </c>
      <c r="AC36" s="562">
        <f t="shared" si="0"/>
        <v>-8.0382775119617333E-2</v>
      </c>
      <c r="AD36" s="562">
        <f t="shared" si="1"/>
        <v>94.926539724349624</v>
      </c>
      <c r="AE36" s="579">
        <v>106.7193</v>
      </c>
      <c r="AF36" s="562">
        <f t="shared" ref="AF36:AF45" si="5">(+(AE36/AB36)-1)</f>
        <v>0.11050260145681601</v>
      </c>
    </row>
    <row r="37" spans="4:32" ht="14">
      <c r="D37" s="551"/>
      <c r="E37" s="552"/>
      <c r="P37" s="580">
        <v>103</v>
      </c>
      <c r="Q37" s="581" t="s">
        <v>324</v>
      </c>
      <c r="R37" s="577">
        <v>154.708984375</v>
      </c>
      <c r="S37" s="580">
        <v>104.5</v>
      </c>
      <c r="T37" s="583">
        <f t="shared" si="2"/>
        <v>1.4563106796116498E-2</v>
      </c>
      <c r="U37" s="580">
        <v>105.1</v>
      </c>
      <c r="V37" s="583">
        <f t="shared" si="3"/>
        <v>5.7416267942582699E-3</v>
      </c>
      <c r="W37" s="578">
        <v>104.91</v>
      </c>
      <c r="X37" s="583">
        <f t="shared" si="4"/>
        <v>-1.8078020932444927E-3</v>
      </c>
      <c r="Y37" s="578">
        <v>104</v>
      </c>
      <c r="Z37" s="582">
        <f>(+(Y37/W37)-1)</f>
        <v>-8.6741016109045388E-3</v>
      </c>
      <c r="AA37" s="562">
        <f>(+AB37*AC37)*-1+AB37</f>
        <v>103.69846153846154</v>
      </c>
      <c r="AB37" s="578">
        <v>98.4</v>
      </c>
      <c r="AC37" s="562">
        <f t="shared" si="0"/>
        <v>-5.3846153846153766E-2</v>
      </c>
      <c r="AD37" s="562">
        <f t="shared" si="1"/>
        <v>97.5308571706301</v>
      </c>
      <c r="AE37" s="579">
        <v>107.64790000000001</v>
      </c>
      <c r="AF37" s="562">
        <f t="shared" si="5"/>
        <v>9.3982723577235694E-2</v>
      </c>
    </row>
    <row r="38" spans="4:32" ht="14">
      <c r="D38" s="553" t="s">
        <v>308</v>
      </c>
      <c r="E38" s="554">
        <f>(-E35+E36)/E35</f>
        <v>7.6263107721639386E-3</v>
      </c>
      <c r="P38" s="580">
        <v>103.5</v>
      </c>
      <c r="Q38" s="581" t="s">
        <v>325</v>
      </c>
      <c r="R38" s="577">
        <v>154.76967930029156</v>
      </c>
      <c r="S38" s="580">
        <v>104.5</v>
      </c>
      <c r="T38" s="583">
        <f t="shared" si="2"/>
        <v>9.6618357487923134E-3</v>
      </c>
      <c r="U38" s="580">
        <v>105.3</v>
      </c>
      <c r="V38" s="583">
        <f t="shared" si="3"/>
        <v>7.6555023923443599E-3</v>
      </c>
      <c r="W38" s="578">
        <v>105.2</v>
      </c>
      <c r="X38" s="583">
        <f t="shared" si="4"/>
        <v>-9.4966761633419328E-4</v>
      </c>
      <c r="Y38" s="578">
        <v>102.7</v>
      </c>
      <c r="Z38" s="582">
        <f>(+(Y38/W38)-1)</f>
        <v>-2.3764258555133089E-2</v>
      </c>
      <c r="AA38" s="562">
        <f>(+AB38*AC38)*-1+AB38</f>
        <v>102.47565725413827</v>
      </c>
      <c r="AB38" s="578">
        <v>97.9</v>
      </c>
      <c r="AC38" s="562">
        <f t="shared" si="0"/>
        <v>-4.6738072054527735E-2</v>
      </c>
      <c r="AD38" s="562">
        <f t="shared" si="1"/>
        <v>96.801881590909105</v>
      </c>
      <c r="AE38" s="584">
        <v>108.26849999999999</v>
      </c>
      <c r="AF38" s="562">
        <f t="shared" si="5"/>
        <v>0.10590909090909073</v>
      </c>
    </row>
    <row r="39" spans="4:32" ht="14">
      <c r="P39" s="580">
        <v>103.7</v>
      </c>
      <c r="Q39" s="581" t="s">
        <v>326</v>
      </c>
      <c r="R39" s="577">
        <v>154.76449999999997</v>
      </c>
      <c r="S39" s="580">
        <v>104.5</v>
      </c>
      <c r="T39" s="583">
        <f t="shared" si="2"/>
        <v>7.7145612343296754E-3</v>
      </c>
      <c r="U39" s="580">
        <v>105.3</v>
      </c>
      <c r="V39" s="583">
        <f t="shared" si="3"/>
        <v>7.6555023923443599E-3</v>
      </c>
      <c r="W39" s="578">
        <v>105.3</v>
      </c>
      <c r="X39" s="583">
        <f t="shared" si="4"/>
        <v>0</v>
      </c>
      <c r="Y39" s="578">
        <f>ROUND(102.6954,2)</f>
        <v>102.7</v>
      </c>
      <c r="Z39" s="582">
        <f t="shared" ref="Z39:Z46" si="6">(+(Y39/W39)-1)</f>
        <v>-2.4691358024691357E-2</v>
      </c>
      <c r="AA39" s="562">
        <f>(+AB39*AC39)*-1+AB39</f>
        <v>102.66105160662123</v>
      </c>
      <c r="AB39" s="578">
        <v>104.7</v>
      </c>
      <c r="AC39" s="562">
        <f t="shared" si="0"/>
        <v>1.9474196689386547E-2</v>
      </c>
      <c r="AD39" s="562">
        <f t="shared" si="1"/>
        <v>104.51509073543457</v>
      </c>
      <c r="AE39" s="584">
        <v>109.1</v>
      </c>
      <c r="AF39" s="562">
        <f t="shared" si="5"/>
        <v>4.2024832855778405E-2</v>
      </c>
    </row>
    <row r="40" spans="4:32" ht="14">
      <c r="P40" s="580">
        <v>103.6</v>
      </c>
      <c r="Q40" s="581" t="s">
        <v>327</v>
      </c>
      <c r="R40" s="577">
        <v>154.48492753623188</v>
      </c>
      <c r="S40" s="580">
        <v>104.3</v>
      </c>
      <c r="T40" s="583">
        <f t="shared" si="2"/>
        <v>6.7567567567567988E-3</v>
      </c>
      <c r="U40" s="580">
        <v>105.5</v>
      </c>
      <c r="V40" s="583">
        <f t="shared" si="3"/>
        <v>1.1505273250239645E-2</v>
      </c>
      <c r="W40" s="578">
        <v>105.5</v>
      </c>
      <c r="X40" s="583">
        <f t="shared" si="4"/>
        <v>0</v>
      </c>
      <c r="Y40" s="578">
        <f>ROUND(103.2292,2)</f>
        <v>103.23</v>
      </c>
      <c r="Z40" s="582">
        <f t="shared" si="6"/>
        <v>-2.151658767772513E-2</v>
      </c>
      <c r="AA40" s="562">
        <f t="shared" ref="AA40:AA46" si="7">(+AB40*AC40)*-1+AB40</f>
        <v>103.20298362879009</v>
      </c>
      <c r="AB40" s="578">
        <v>104.9</v>
      </c>
      <c r="AC40" s="562">
        <f t="shared" si="0"/>
        <v>1.6177467790370992E-2</v>
      </c>
      <c r="AD40" s="562">
        <f t="shared" si="1"/>
        <v>104.62202097235463</v>
      </c>
      <c r="AE40" s="584">
        <v>110.3</v>
      </c>
      <c r="AF40" s="562">
        <f t="shared" si="5"/>
        <v>5.1477597712106693E-2</v>
      </c>
    </row>
    <row r="41" spans="4:32" ht="14">
      <c r="P41" s="580">
        <v>103.7</v>
      </c>
      <c r="Q41" s="581" t="s">
        <v>328</v>
      </c>
      <c r="R41" s="577">
        <v>154.22222222222226</v>
      </c>
      <c r="S41" s="580">
        <v>104.1</v>
      </c>
      <c r="T41" s="583">
        <f t="shared" si="2"/>
        <v>3.8572806171648377E-3</v>
      </c>
      <c r="U41" s="580">
        <v>105.5</v>
      </c>
      <c r="V41" s="583">
        <f t="shared" si="3"/>
        <v>1.344860710854956E-2</v>
      </c>
      <c r="W41" s="578">
        <v>105.5</v>
      </c>
      <c r="X41" s="583">
        <f t="shared" si="4"/>
        <v>0</v>
      </c>
      <c r="Y41" s="578">
        <v>102.81</v>
      </c>
      <c r="Z41" s="582">
        <f t="shared" si="6"/>
        <v>-2.5497630331753562E-2</v>
      </c>
      <c r="AA41" s="562">
        <f t="shared" si="7"/>
        <v>102.74969360957105</v>
      </c>
      <c r="AB41" s="578">
        <v>105.3</v>
      </c>
      <c r="AC41" s="562">
        <f t="shared" si="0"/>
        <v>2.4219433907207488E-2</v>
      </c>
      <c r="AD41" s="562"/>
      <c r="AE41" s="584"/>
      <c r="AF41" s="562">
        <f t="shared" si="5"/>
        <v>-1</v>
      </c>
    </row>
    <row r="42" spans="4:32" ht="14">
      <c r="P42" s="580">
        <v>103.7</v>
      </c>
      <c r="Q42" s="581" t="s">
        <v>329</v>
      </c>
      <c r="R42" s="577">
        <v>154.6164</v>
      </c>
      <c r="S42" s="580">
        <v>104.4</v>
      </c>
      <c r="T42" s="583">
        <f t="shared" si="2"/>
        <v>6.7502410800386325E-3</v>
      </c>
      <c r="U42" s="580">
        <v>105.53</v>
      </c>
      <c r="V42" s="583">
        <f t="shared" si="3"/>
        <v>1.0823754789272E-2</v>
      </c>
      <c r="W42" s="578">
        <f>ROUND(104.8884,2)</f>
        <v>104.89</v>
      </c>
      <c r="X42" s="583">
        <f t="shared" si="4"/>
        <v>-6.0646261726523543E-3</v>
      </c>
      <c r="Y42" s="578">
        <v>104.89</v>
      </c>
      <c r="Z42" s="582">
        <f t="shared" si="6"/>
        <v>0</v>
      </c>
      <c r="AA42" s="562">
        <f t="shared" si="7"/>
        <v>104.88839736867193</v>
      </c>
      <c r="AB42" s="578">
        <v>105.3</v>
      </c>
      <c r="AC42" s="562">
        <f t="shared" si="0"/>
        <v>3.908856897702373E-3</v>
      </c>
      <c r="AD42" s="562"/>
      <c r="AE42" s="578"/>
      <c r="AF42" s="562">
        <f t="shared" si="5"/>
        <v>-1</v>
      </c>
    </row>
    <row r="43" spans="4:32" ht="14">
      <c r="P43" s="580">
        <v>103.9</v>
      </c>
      <c r="Q43" s="581" t="s">
        <v>330</v>
      </c>
      <c r="R43" s="577">
        <v>155.06070000000037</v>
      </c>
      <c r="S43" s="580">
        <v>104.7</v>
      </c>
      <c r="T43" s="583">
        <f t="shared" si="2"/>
        <v>7.6997112608276908E-3</v>
      </c>
      <c r="U43" s="580">
        <v>105.49</v>
      </c>
      <c r="V43" s="583">
        <f t="shared" si="3"/>
        <v>7.5453677172874212E-3</v>
      </c>
      <c r="W43" s="578">
        <f>ROUND(104.8386,2)</f>
        <v>104.84</v>
      </c>
      <c r="X43" s="583">
        <f t="shared" si="4"/>
        <v>-6.1617214901885653E-3</v>
      </c>
      <c r="Y43" s="578">
        <v>104.84</v>
      </c>
      <c r="Z43" s="582">
        <f t="shared" si="6"/>
        <v>0</v>
      </c>
      <c r="AA43" s="562">
        <f t="shared" si="7"/>
        <v>104.83700877527662</v>
      </c>
      <c r="AB43" s="578">
        <v>105.4</v>
      </c>
      <c r="AC43" s="562">
        <f t="shared" si="0"/>
        <v>5.3414727203358048E-3</v>
      </c>
      <c r="AD43" s="562"/>
      <c r="AE43" s="578"/>
      <c r="AF43" s="562">
        <f t="shared" si="5"/>
        <v>-1</v>
      </c>
    </row>
    <row r="44" spans="4:32" ht="14">
      <c r="P44" s="580">
        <v>104</v>
      </c>
      <c r="Q44" s="581" t="s">
        <v>331</v>
      </c>
      <c r="R44" s="577">
        <v>154.72087378640779</v>
      </c>
      <c r="S44" s="580">
        <v>104.5</v>
      </c>
      <c r="T44" s="583">
        <f t="shared" si="2"/>
        <v>4.8076923076922906E-3</v>
      </c>
      <c r="U44" s="580">
        <v>105.57</v>
      </c>
      <c r="V44" s="583">
        <f t="shared" si="3"/>
        <v>1.0239234449760604E-2</v>
      </c>
      <c r="W44" s="578">
        <f>ROUND(104.8386,2)</f>
        <v>104.84</v>
      </c>
      <c r="X44" s="583">
        <f t="shared" si="4"/>
        <v>-6.9148432319786624E-3</v>
      </c>
      <c r="Y44" s="578">
        <v>104.84</v>
      </c>
      <c r="Z44" s="582">
        <f t="shared" si="6"/>
        <v>0</v>
      </c>
      <c r="AA44" s="562">
        <f t="shared" si="7"/>
        <v>104.83120946203739</v>
      </c>
      <c r="AB44" s="578">
        <v>105.8</v>
      </c>
      <c r="AC44" s="562">
        <f t="shared" si="0"/>
        <v>9.1568103777184273E-3</v>
      </c>
      <c r="AD44" s="562"/>
      <c r="AE44" s="578"/>
      <c r="AF44" s="562">
        <f t="shared" si="5"/>
        <v>-1</v>
      </c>
    </row>
    <row r="45" spans="4:32" ht="14">
      <c r="P45" s="580">
        <v>103.9</v>
      </c>
      <c r="Q45" s="581" t="s">
        <v>332</v>
      </c>
      <c r="R45" s="577">
        <v>154.49284104526942</v>
      </c>
      <c r="S45" s="580">
        <v>104.3</v>
      </c>
      <c r="T45" s="583">
        <f t="shared" si="2"/>
        <v>3.8498556304138454E-3</v>
      </c>
      <c r="U45" s="580">
        <v>105.11</v>
      </c>
      <c r="V45" s="583">
        <f t="shared" si="3"/>
        <v>7.7660594439117325E-3</v>
      </c>
      <c r="W45" s="578">
        <f>ROUND(104.7681,2)</f>
        <v>104.77</v>
      </c>
      <c r="X45" s="583">
        <f t="shared" si="4"/>
        <v>-3.2347064979545426E-3</v>
      </c>
      <c r="Y45" s="578">
        <v>102.6</v>
      </c>
      <c r="Z45" s="582">
        <f t="shared" si="6"/>
        <v>-2.0712035888135971E-2</v>
      </c>
      <c r="AA45" s="562">
        <f t="shared" si="7"/>
        <v>102.48060428849901</v>
      </c>
      <c r="AB45" s="578">
        <v>106.1</v>
      </c>
      <c r="AC45" s="562">
        <f t="shared" si="0"/>
        <v>3.4113060428849984E-2</v>
      </c>
      <c r="AD45" s="562"/>
      <c r="AE45" s="578"/>
      <c r="AF45" s="562">
        <f t="shared" si="5"/>
        <v>-1</v>
      </c>
    </row>
    <row r="46" spans="4:32" ht="14">
      <c r="P46" s="580">
        <v>104</v>
      </c>
      <c r="Q46" s="581" t="s">
        <v>333</v>
      </c>
      <c r="R46" s="577">
        <v>154.72087378640771</v>
      </c>
      <c r="S46" s="580">
        <v>104.5</v>
      </c>
      <c r="T46" s="583">
        <f t="shared" si="2"/>
        <v>4.8076923076922906E-3</v>
      </c>
      <c r="U46" s="580">
        <v>104.67</v>
      </c>
      <c r="V46" s="583">
        <f t="shared" si="3"/>
        <v>1.6267942583731987E-3</v>
      </c>
      <c r="W46" s="578">
        <f>ROUND(104.5986,2)</f>
        <v>104.6</v>
      </c>
      <c r="X46" s="583">
        <f t="shared" si="4"/>
        <v>-6.6876851055708286E-4</v>
      </c>
      <c r="Y46" s="578">
        <v>103</v>
      </c>
      <c r="Z46" s="582">
        <f t="shared" si="6"/>
        <v>-1.5296367112810683E-2</v>
      </c>
      <c r="AA46" s="562">
        <f t="shared" si="7"/>
        <v>105.65299999999999</v>
      </c>
      <c r="AB46" s="578">
        <v>105.65299999999999</v>
      </c>
      <c r="AC46" s="562"/>
      <c r="AD46" s="562"/>
      <c r="AE46" s="578"/>
      <c r="AF46" s="562"/>
    </row>
    <row r="47" spans="4:32" ht="13">
      <c r="P47" s="585">
        <v>103.52500000000002</v>
      </c>
      <c r="Q47" s="586"/>
      <c r="R47" s="585">
        <f>AVERAGE(R35:R46)</f>
        <v>154.66190850431926</v>
      </c>
      <c r="S47" s="585">
        <f>AVERAGE(S35:S46)</f>
        <v>104.43333333333334</v>
      </c>
      <c r="T47" s="587">
        <f>+(S47/P47)-1</f>
        <v>8.7740481365208289E-3</v>
      </c>
      <c r="U47" s="585">
        <f>AVERAGE(U35:U46)</f>
        <v>105.23083333333334</v>
      </c>
      <c r="V47" s="587">
        <f>+(U47/R47)-1</f>
        <v>-0.31960730117076919</v>
      </c>
      <c r="W47" s="585">
        <f>AVERAGE(W35:W46)</f>
        <v>104.93333333333332</v>
      </c>
      <c r="X47" s="587">
        <f>+(W47/U47)-1</f>
        <v>-2.8271181608686691E-3</v>
      </c>
      <c r="Y47" s="585">
        <f>AVERAGE(Y35:Y46)</f>
        <v>103.73852499999998</v>
      </c>
      <c r="Z47" s="587">
        <f>+(Y47/W47)-1</f>
        <v>-1.1386356416772658E-2</v>
      </c>
      <c r="AA47" s="588"/>
      <c r="AB47" s="585">
        <f>AVERAGE(AB35:AB46)</f>
        <v>102.67108333333333</v>
      </c>
      <c r="AC47" s="588">
        <f>+(AB47/Y47)-1</f>
        <v>-1.0289732446713051E-2</v>
      </c>
      <c r="AD47" s="588"/>
      <c r="AE47" s="585">
        <f>AVERAGE(AE35:AE46)</f>
        <v>108.00371666666666</v>
      </c>
      <c r="AF47" s="588">
        <f>+(AE47/AB47)-1</f>
        <v>5.1938999377461936E-2</v>
      </c>
    </row>
  </sheetData>
  <mergeCells count="22">
    <mergeCell ref="AD33:AF33"/>
    <mergeCell ref="Q33:S33"/>
    <mergeCell ref="U33:V33"/>
    <mergeCell ref="W33:X33"/>
    <mergeCell ref="Y33:Z33"/>
    <mergeCell ref="AA33:AB33"/>
    <mergeCell ref="H17:H18"/>
    <mergeCell ref="M18:M19"/>
    <mergeCell ref="B2:L2"/>
    <mergeCell ref="B4:L4"/>
    <mergeCell ref="B5:L5"/>
    <mergeCell ref="B6:L6"/>
    <mergeCell ref="E14:E15"/>
    <mergeCell ref="G14:G15"/>
    <mergeCell ref="H14:H15"/>
    <mergeCell ref="I14:I15"/>
    <mergeCell ref="J14:J15"/>
    <mergeCell ref="D34:E34"/>
    <mergeCell ref="D17:D18"/>
    <mergeCell ref="E17:E18"/>
    <mergeCell ref="F17:F18"/>
    <mergeCell ref="G17:G18"/>
  </mergeCells>
  <printOptions horizontalCentered="1" verticalCentered="1"/>
  <pageMargins left="0.74803149606299213" right="0.74803149606299213" top="0.86614173228346458" bottom="1.0236220472440944" header="0" footer="0.6692913385826772"/>
  <pageSetup scale="77" orientation="landscape" cellComments="asDisplayed" horizontalDpi="4294967293" verticalDpi="300" r:id="rId1"/>
  <headerFooter alignWithMargins="0">
    <oddFooter>&amp;L&amp;8CAES-IPC Año 4    8/marzo/ 2012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6">
    <tabColor rgb="FFFFC000"/>
  </sheetPr>
  <dimension ref="A1:O150"/>
  <sheetViews>
    <sheetView zoomScale="67" zoomScaleNormal="67" workbookViewId="0">
      <selection activeCell="Q28" sqref="Q28"/>
    </sheetView>
  </sheetViews>
  <sheetFormatPr baseColWidth="10" defaultColWidth="9.1796875" defaultRowHeight="12.5"/>
  <cols>
    <col min="1" max="1" width="3.7265625" customWidth="1"/>
    <col min="2" max="2" width="50.81640625" customWidth="1"/>
    <col min="3" max="3" width="16.81640625" customWidth="1"/>
    <col min="4" max="4" width="17" customWidth="1"/>
    <col min="5" max="5" width="14.1796875" customWidth="1"/>
    <col min="6" max="6" width="14.453125" customWidth="1"/>
    <col min="7" max="7" width="14.1796875" customWidth="1"/>
    <col min="8" max="8" width="13.7265625" customWidth="1"/>
    <col min="9" max="9" width="13.453125" customWidth="1"/>
    <col min="10" max="10" width="9.81640625" customWidth="1"/>
    <col min="11" max="11" width="9.54296875" customWidth="1"/>
    <col min="12" max="12" width="10.7265625" customWidth="1"/>
    <col min="13" max="13" width="13.81640625" customWidth="1"/>
    <col min="14" max="14" width="20" customWidth="1"/>
    <col min="15" max="15" width="18.54296875" customWidth="1"/>
  </cols>
  <sheetData>
    <row r="1" spans="2:13" ht="13">
      <c r="I1" s="1"/>
    </row>
    <row r="3" spans="2:13" ht="13">
      <c r="B3" s="974" t="s">
        <v>35</v>
      </c>
      <c r="C3" s="974"/>
      <c r="D3" s="974"/>
      <c r="E3" s="974"/>
      <c r="F3" s="974"/>
      <c r="G3" s="974"/>
      <c r="H3" s="974"/>
      <c r="I3" s="974"/>
    </row>
    <row r="4" spans="2:13" ht="13">
      <c r="B4" s="974" t="s">
        <v>36</v>
      </c>
      <c r="C4" s="974"/>
      <c r="D4" s="974"/>
      <c r="E4" s="974"/>
      <c r="F4" s="974"/>
      <c r="G4" s="974"/>
      <c r="H4" s="974"/>
      <c r="I4" s="974"/>
    </row>
    <row r="5" spans="2:13" ht="13">
      <c r="B5" s="974" t="s">
        <v>93</v>
      </c>
      <c r="C5" s="974"/>
      <c r="D5" s="974"/>
      <c r="E5" s="974"/>
      <c r="F5" s="974"/>
      <c r="G5" s="974"/>
      <c r="H5" s="974"/>
      <c r="I5" s="974"/>
    </row>
    <row r="6" spans="2:13" ht="13.5" thickBot="1">
      <c r="B6" s="4"/>
      <c r="C6" s="5"/>
      <c r="D6" s="5"/>
      <c r="E6" s="5"/>
      <c r="F6" s="5"/>
      <c r="G6" s="5"/>
      <c r="H6" s="5"/>
      <c r="I6" s="5"/>
    </row>
    <row r="7" spans="2:13" ht="13">
      <c r="B7" s="6" t="s">
        <v>37</v>
      </c>
      <c r="C7" s="7" t="s">
        <v>38</v>
      </c>
      <c r="D7" s="7">
        <v>2012</v>
      </c>
      <c r="E7" s="7">
        <v>2013</v>
      </c>
      <c r="F7" s="7">
        <f>+E7+1</f>
        <v>2014</v>
      </c>
      <c r="G7" s="7">
        <f>+F7+1</f>
        <v>2015</v>
      </c>
      <c r="H7" s="7">
        <f>+G7+1</f>
        <v>2016</v>
      </c>
      <c r="I7" s="8">
        <f>+H7+1</f>
        <v>2017</v>
      </c>
    </row>
    <row r="8" spans="2:13" ht="15.5">
      <c r="B8" s="97" t="s">
        <v>39</v>
      </c>
      <c r="C8" s="98" t="s">
        <v>40</v>
      </c>
      <c r="D8" s="99"/>
      <c r="E8" s="99">
        <v>1.8700000000000001E-2</v>
      </c>
      <c r="F8" s="99">
        <v>1.8700000000000001E-2</v>
      </c>
      <c r="G8" s="99">
        <v>1.8700000000000001E-2</v>
      </c>
      <c r="H8" s="99">
        <v>1.8700000000000001E-2</v>
      </c>
      <c r="I8" s="100">
        <v>1.8700000000000001E-2</v>
      </c>
      <c r="J8" s="101"/>
      <c r="M8" s="9"/>
    </row>
    <row r="9" spans="2:13">
      <c r="B9" s="102" t="s">
        <v>41</v>
      </c>
      <c r="C9" s="103" t="s">
        <v>40</v>
      </c>
      <c r="D9" s="104"/>
      <c r="E9" s="104">
        <v>1.32E-2</v>
      </c>
      <c r="F9" s="104">
        <v>1.32E-2</v>
      </c>
      <c r="G9" s="104">
        <v>1.32E-2</v>
      </c>
      <c r="H9" s="104">
        <v>1.32E-2</v>
      </c>
      <c r="I9" s="105">
        <v>1.32E-2</v>
      </c>
      <c r="J9" s="101"/>
    </row>
    <row r="10" spans="2:13">
      <c r="B10" s="102" t="s">
        <v>233</v>
      </c>
      <c r="C10" s="103" t="s">
        <v>40</v>
      </c>
      <c r="D10" s="104">
        <v>3.3385882564188139E-2</v>
      </c>
      <c r="E10" s="104"/>
      <c r="F10" s="104"/>
      <c r="G10" s="104"/>
      <c r="H10" s="104"/>
      <c r="I10" s="105"/>
      <c r="J10" s="101"/>
    </row>
    <row r="11" spans="2:13">
      <c r="B11" s="106" t="s">
        <v>42</v>
      </c>
      <c r="C11" s="107" t="s">
        <v>40</v>
      </c>
      <c r="D11" s="108">
        <v>6.83E-2</v>
      </c>
      <c r="E11" s="109"/>
      <c r="F11" s="109"/>
      <c r="G11" s="109"/>
      <c r="H11" s="109"/>
      <c r="I11" s="110"/>
      <c r="J11" s="397"/>
    </row>
    <row r="12" spans="2:13" ht="13.5" customHeight="1">
      <c r="B12" s="10" t="s">
        <v>43</v>
      </c>
      <c r="C12" s="98"/>
      <c r="D12" s="111"/>
      <c r="E12" s="112"/>
      <c r="F12" s="113"/>
      <c r="G12" s="112"/>
      <c r="H12" s="114"/>
      <c r="I12" s="115"/>
    </row>
    <row r="13" spans="2:13">
      <c r="B13" s="102" t="s">
        <v>234</v>
      </c>
      <c r="C13" s="103" t="s">
        <v>45</v>
      </c>
      <c r="D13" s="398" t="e">
        <f>#REF!</f>
        <v>#REF!</v>
      </c>
      <c r="E13" s="399" t="e">
        <f>#REF!</f>
        <v>#REF!</v>
      </c>
      <c r="F13" s="398" t="e">
        <f>#REF!</f>
        <v>#REF!</v>
      </c>
      <c r="G13" s="399" t="e">
        <f>#REF!</f>
        <v>#REF!</v>
      </c>
      <c r="H13" s="398" t="e">
        <f>#REF!</f>
        <v>#REF!</v>
      </c>
      <c r="I13" s="399" t="e">
        <f>#REF!</f>
        <v>#REF!</v>
      </c>
    </row>
    <row r="14" spans="2:13">
      <c r="B14" s="102" t="s">
        <v>235</v>
      </c>
      <c r="C14" s="103"/>
      <c r="D14" s="398" t="e">
        <f>#REF!</f>
        <v>#REF!</v>
      </c>
      <c r="E14" s="399" t="e">
        <f>#REF!</f>
        <v>#REF!</v>
      </c>
      <c r="F14" s="398" t="e">
        <f>#REF!</f>
        <v>#REF!</v>
      </c>
      <c r="G14" s="399" t="e">
        <f>#REF!</f>
        <v>#REF!</v>
      </c>
      <c r="H14" s="398" t="e">
        <f>#REF!</f>
        <v>#REF!</v>
      </c>
      <c r="I14" s="399" t="e">
        <f>#REF!</f>
        <v>#REF!</v>
      </c>
    </row>
    <row r="15" spans="2:13">
      <c r="B15" s="102" t="s">
        <v>236</v>
      </c>
      <c r="C15" s="103" t="s">
        <v>45</v>
      </c>
      <c r="D15" s="398" t="e">
        <f>#REF!</f>
        <v>#REF!</v>
      </c>
      <c r="E15" s="399" t="e">
        <f>#REF!</f>
        <v>#REF!</v>
      </c>
      <c r="F15" s="398" t="e">
        <f>#REF!</f>
        <v>#REF!</v>
      </c>
      <c r="G15" s="399" t="e">
        <f>#REF!</f>
        <v>#REF!</v>
      </c>
      <c r="H15" s="398" t="e">
        <f>#REF!</f>
        <v>#REF!</v>
      </c>
      <c r="I15" s="399" t="e">
        <f>#REF!</f>
        <v>#REF!</v>
      </c>
    </row>
    <row r="16" spans="2:13">
      <c r="B16" s="621" t="s">
        <v>237</v>
      </c>
      <c r="C16" s="103" t="s">
        <v>45</v>
      </c>
      <c r="D16" s="398">
        <f>+[21]ACTIVOS!C143</f>
        <v>2000.9</v>
      </c>
      <c r="E16" s="399">
        <f>+[21]ACTIVOS!D143</f>
        <v>2000.9</v>
      </c>
      <c r="F16" s="398">
        <f>+[21]ACTIVOS!E143</f>
        <v>2000.9</v>
      </c>
      <c r="G16" s="399">
        <f>+[21]ACTIVOS!F143</f>
        <v>2000.9</v>
      </c>
      <c r="H16" s="399">
        <f>+[21]ACTIVOS!G143</f>
        <v>0</v>
      </c>
      <c r="I16" s="400">
        <f>+[21]ACTIVOS!H143</f>
        <v>0</v>
      </c>
    </row>
    <row r="17" spans="2:11">
      <c r="B17" s="102" t="s">
        <v>94</v>
      </c>
      <c r="C17" s="103" t="s">
        <v>45</v>
      </c>
      <c r="D17" s="398">
        <f>+[21]ACTIVOS!C32+[21]ACTIVOS!C215</f>
        <v>208150.0790332263</v>
      </c>
      <c r="E17" s="399">
        <f>+[21]ACTIVOS!D32+[21]ACTIVOS!D215</f>
        <v>203819.44569557876</v>
      </c>
      <c r="F17" s="398">
        <f>+[21]ACTIVOS!E32+[21]ACTIVOS!E215</f>
        <v>248218.4057650266</v>
      </c>
      <c r="G17" s="399">
        <f>+[21]ACTIVOS!F32+[21]ACTIVOS!F215</f>
        <v>306921.36147428351</v>
      </c>
      <c r="H17" s="399">
        <f>+[21]ACTIVOS!G32+[21]ACTIVOS!G215</f>
        <v>334081.42080502253</v>
      </c>
      <c r="I17" s="400">
        <f>+[21]ACTIVOS!H32+[21]ACTIVOS!H215</f>
        <v>452696.65436268866</v>
      </c>
    </row>
    <row r="18" spans="2:11">
      <c r="B18" s="102" t="s">
        <v>238</v>
      </c>
      <c r="C18" s="103"/>
      <c r="D18" s="398">
        <f>+[21]ACTIVOS!C59</f>
        <v>0</v>
      </c>
      <c r="E18" s="399">
        <f>+[21]ACTIVOS!D59</f>
        <v>0</v>
      </c>
      <c r="F18" s="398">
        <f>+[21]ACTIVOS!E59</f>
        <v>0</v>
      </c>
      <c r="G18" s="399">
        <f>+[21]ACTIVOS!F59</f>
        <v>0</v>
      </c>
      <c r="H18" s="399">
        <f>+[21]ACTIVOS!G59</f>
        <v>0</v>
      </c>
      <c r="I18" s="400">
        <f>+[21]ACTIVOS!H59</f>
        <v>285457.82998149999</v>
      </c>
    </row>
    <row r="19" spans="2:11">
      <c r="B19" s="102" t="s">
        <v>49</v>
      </c>
      <c r="C19" s="103" t="s">
        <v>45</v>
      </c>
      <c r="D19" s="398">
        <f>+[21]ACTIVOS!C115</f>
        <v>8607.5463466670826</v>
      </c>
      <c r="E19" s="399">
        <f>+[21]ACTIVOS!D115</f>
        <v>16294.476097688785</v>
      </c>
      <c r="F19" s="398">
        <f>+[21]ACTIVOS!E115</f>
        <v>23073.875848710486</v>
      </c>
      <c r="G19" s="399">
        <f>+[21]ACTIVOS!F115</f>
        <v>21822.365599732191</v>
      </c>
      <c r="H19" s="399">
        <f>+[21]ACTIVOS!G115</f>
        <v>20570.855350753889</v>
      </c>
      <c r="I19" s="400">
        <f>+[21]ACTIVOS!H115</f>
        <v>19319.345101775594</v>
      </c>
    </row>
    <row r="20" spans="2:11">
      <c r="B20" s="106" t="s">
        <v>95</v>
      </c>
      <c r="C20" s="107" t="s">
        <v>45</v>
      </c>
      <c r="D20" s="401">
        <f>+[21]ACTIVOS!C144</f>
        <v>269.1894999999995</v>
      </c>
      <c r="E20" s="402">
        <f>+[21]ACTIVOS!D144</f>
        <v>199.15799999999945</v>
      </c>
      <c r="F20" s="401">
        <f>+[21]ACTIVOS!E144</f>
        <v>129.1264999999994</v>
      </c>
      <c r="G20" s="402">
        <f>+[21]ACTIVOS!F144</f>
        <v>59.094999999999345</v>
      </c>
      <c r="H20" s="402">
        <f>+[21]ACTIVOS!G144</f>
        <v>0</v>
      </c>
      <c r="I20" s="403">
        <f>+[21]ACTIVOS!H144</f>
        <v>0</v>
      </c>
    </row>
    <row r="21" spans="2:11" ht="13">
      <c r="B21" s="116" t="s">
        <v>96</v>
      </c>
      <c r="C21" s="103"/>
      <c r="D21" s="111"/>
      <c r="E21" s="117"/>
      <c r="F21" s="113"/>
      <c r="G21" s="117"/>
      <c r="H21" s="117"/>
      <c r="I21" s="118"/>
      <c r="J21" s="394"/>
    </row>
    <row r="22" spans="2:11">
      <c r="B22" s="102" t="s">
        <v>52</v>
      </c>
      <c r="C22" s="103" t="s">
        <v>45</v>
      </c>
      <c r="D22" s="398">
        <f>+[21]ACTIVOS!C152</f>
        <v>672845.40272774338</v>
      </c>
      <c r="E22" s="399">
        <f>+[21]ACTIVOS!D152</f>
        <v>679766.35099774343</v>
      </c>
      <c r="F22" s="398">
        <f>+[21]ACTIVOS!E152</f>
        <v>735624.52112293872</v>
      </c>
      <c r="G22" s="399">
        <f>+[21]ACTIVOS!F152</f>
        <v>834392.43199169892</v>
      </c>
      <c r="H22" s="399">
        <f>+[21]ACTIVOS!G152</f>
        <v>876842.58380800416</v>
      </c>
      <c r="I22" s="400">
        <f>+[21]ACTIVOS!H152</f>
        <v>1012021.4144057257</v>
      </c>
      <c r="J22" s="11"/>
    </row>
    <row r="23" spans="2:11">
      <c r="B23" s="102" t="s">
        <v>239</v>
      </c>
      <c r="C23" s="103" t="s">
        <v>45</v>
      </c>
      <c r="D23" s="398"/>
      <c r="E23" s="399"/>
      <c r="F23" s="398"/>
      <c r="G23" s="399"/>
      <c r="H23" s="399">
        <f>+[21]ACTIVOS!G153</f>
        <v>0</v>
      </c>
      <c r="I23" s="400">
        <f>+[21]ACTIVOS!H153</f>
        <v>285457.82998149999</v>
      </c>
      <c r="J23" s="11"/>
    </row>
    <row r="24" spans="2:11">
      <c r="B24" s="102" t="s">
        <v>53</v>
      </c>
      <c r="C24" s="103" t="s">
        <v>45</v>
      </c>
      <c r="D24" s="398">
        <f>+[21]ACTIVOS!C154</f>
        <v>55584.10027607534</v>
      </c>
      <c r="E24" s="399">
        <f>+[21]ACTIVOS!D154</f>
        <v>64035.10027607534</v>
      </c>
      <c r="F24" s="398">
        <f>+[21]ACTIVOS!E154</f>
        <v>71832.100276075333</v>
      </c>
      <c r="G24" s="399">
        <f>+[21]ACTIVOS!F154</f>
        <v>71832.100276075333</v>
      </c>
      <c r="H24" s="399">
        <f>+[21]ACTIVOS!G154</f>
        <v>71832.100276075333</v>
      </c>
      <c r="I24" s="400">
        <f>+[21]ACTIVOS!H154</f>
        <v>71832.100276075333</v>
      </c>
      <c r="J24" s="11"/>
    </row>
    <row r="25" spans="2:11" ht="13">
      <c r="B25" s="116" t="s">
        <v>54</v>
      </c>
      <c r="C25" s="103"/>
      <c r="D25" s="398"/>
      <c r="E25" s="399"/>
      <c r="F25" s="398"/>
      <c r="G25" s="399"/>
      <c r="H25" s="399"/>
      <c r="I25" s="400"/>
      <c r="J25" s="11"/>
    </row>
    <row r="26" spans="2:11">
      <c r="B26" s="102" t="s">
        <v>240</v>
      </c>
      <c r="C26" s="103" t="s">
        <v>45</v>
      </c>
      <c r="D26" s="398"/>
      <c r="E26" s="399">
        <f>+[21]ACTIVOS!D160</f>
        <v>552.98275666666655</v>
      </c>
      <c r="F26" s="399">
        <f>+[21]ACTIVOS!E160</f>
        <v>6580.4562743352672</v>
      </c>
      <c r="G26" s="399">
        <f>+[21]ACTIVOS!F160</f>
        <v>12132.045890916219</v>
      </c>
      <c r="H26" s="399">
        <f>+[21]ACTIVOS!G160</f>
        <v>52.364652898412075</v>
      </c>
      <c r="I26" s="400">
        <f>+[21]ACTIVOS!H160</f>
        <v>47677.735883143461</v>
      </c>
      <c r="J26" s="11"/>
      <c r="K26" s="11"/>
    </row>
    <row r="27" spans="2:11">
      <c r="B27" s="102" t="s">
        <v>241</v>
      </c>
      <c r="C27" s="103" t="s">
        <v>45</v>
      </c>
      <c r="D27" s="398"/>
      <c r="E27" s="399">
        <f>+[21]ACTIVOS!D165</f>
        <v>1267.9741350000002</v>
      </c>
      <c r="F27" s="399">
        <f>+[21]ACTIVOS!E165</f>
        <v>23805.79554877595</v>
      </c>
      <c r="G27" s="399">
        <f>+[21]ACTIVOS!F165</f>
        <v>25026.555360311118</v>
      </c>
      <c r="H27" s="399">
        <f>+[21]ACTIVOS!G165</f>
        <v>17387.492574819265</v>
      </c>
      <c r="I27" s="400">
        <f>+[21]ACTIVOS!H165</f>
        <v>63438.998632194074</v>
      </c>
      <c r="J27" s="11"/>
      <c r="K27" s="11"/>
    </row>
    <row r="28" spans="2:11">
      <c r="B28" s="102" t="s">
        <v>242</v>
      </c>
      <c r="C28" s="103" t="s">
        <v>45</v>
      </c>
      <c r="D28" s="398"/>
      <c r="E28" s="399">
        <f>+[21]ACTIVOS!D161</f>
        <v>0</v>
      </c>
      <c r="F28" s="399">
        <f>+[21]ACTIVOS!E161</f>
        <v>0</v>
      </c>
      <c r="G28" s="399">
        <f>+[21]ACTIVOS!F161</f>
        <v>0</v>
      </c>
      <c r="H28" s="399">
        <f>+[21]ACTIVOS!G161</f>
        <v>0</v>
      </c>
      <c r="I28" s="400">
        <f>+[21]ACTIVOS!H161</f>
        <v>142728.91499075</v>
      </c>
      <c r="J28" s="11"/>
    </row>
    <row r="29" spans="2:11">
      <c r="B29" s="102" t="s">
        <v>243</v>
      </c>
      <c r="C29" s="103" t="s">
        <v>45</v>
      </c>
      <c r="D29" s="398"/>
      <c r="E29" s="399">
        <f>+[21]ACTIVOS!D166</f>
        <v>0</v>
      </c>
      <c r="F29" s="399">
        <f>+[21]ACTIVOS!E166</f>
        <v>0</v>
      </c>
      <c r="G29" s="399">
        <f>+[21]ACTIVOS!F166</f>
        <v>0</v>
      </c>
      <c r="H29" s="399">
        <f>+[21]ACTIVOS!G166</f>
        <v>0</v>
      </c>
      <c r="I29" s="400">
        <f>+[21]ACTIVOS!H166</f>
        <v>142728.91499075</v>
      </c>
      <c r="J29" s="11"/>
    </row>
    <row r="30" spans="2:11">
      <c r="B30" s="102" t="s">
        <v>53</v>
      </c>
      <c r="C30" s="103" t="s">
        <v>45</v>
      </c>
      <c r="D30" s="398"/>
      <c r="E30" s="399">
        <f>+[21]ACTIVOS!D162</f>
        <v>0</v>
      </c>
      <c r="F30" s="398">
        <f>+[21]ACTIVOS!E162</f>
        <v>0</v>
      </c>
      <c r="G30" s="399">
        <f>+[21]ACTIVOS!F162</f>
        <v>0</v>
      </c>
      <c r="H30" s="399">
        <f>+[21]ACTIVOS!G162</f>
        <v>0</v>
      </c>
      <c r="I30" s="400">
        <f>+[21]ACTIVOS!H162</f>
        <v>0</v>
      </c>
      <c r="J30" s="11"/>
    </row>
    <row r="31" spans="2:11" ht="13" thickBot="1">
      <c r="B31" s="119" t="s">
        <v>53</v>
      </c>
      <c r="C31" s="120" t="s">
        <v>45</v>
      </c>
      <c r="D31" s="404"/>
      <c r="E31" s="405">
        <f>+[21]ACTIVOS!D167</f>
        <v>1401.75</v>
      </c>
      <c r="F31" s="404">
        <f>+[21]ACTIVOS!E167</f>
        <v>3898.5</v>
      </c>
      <c r="G31" s="405">
        <f>+[21]ACTIVOS!F167</f>
        <v>0</v>
      </c>
      <c r="H31" s="405">
        <f>+[21]ACTIVOS!G167</f>
        <v>0</v>
      </c>
      <c r="I31" s="406">
        <f>+[21]ACTIVOS!H167</f>
        <v>0</v>
      </c>
      <c r="J31" s="11"/>
    </row>
    <row r="32" spans="2:11" ht="13" thickBot="1">
      <c r="B32" s="113"/>
      <c r="C32" s="113"/>
      <c r="D32" s="113"/>
      <c r="E32" s="113"/>
      <c r="F32" s="113"/>
      <c r="G32" s="113"/>
      <c r="H32" s="113"/>
      <c r="I32" s="113"/>
    </row>
    <row r="33" spans="2:14" ht="13">
      <c r="B33" s="1013" t="s">
        <v>56</v>
      </c>
      <c r="C33" s="1014"/>
      <c r="D33" s="12">
        <v>2012</v>
      </c>
      <c r="E33" s="12">
        <v>2013</v>
      </c>
      <c r="F33" s="12">
        <v>2013</v>
      </c>
      <c r="G33" s="12">
        <f>+F33+1</f>
        <v>2014</v>
      </c>
      <c r="H33" s="12">
        <v>2014</v>
      </c>
      <c r="I33" s="12">
        <f>+H33+1</f>
        <v>2015</v>
      </c>
      <c r="J33" s="12">
        <v>2015</v>
      </c>
      <c r="K33" s="12">
        <f t="shared" ref="K33:M33" si="0">+J33+1</f>
        <v>2016</v>
      </c>
      <c r="L33" s="12">
        <v>2016</v>
      </c>
      <c r="M33" s="12">
        <f t="shared" si="0"/>
        <v>2017</v>
      </c>
      <c r="N33" s="13">
        <v>2017</v>
      </c>
    </row>
    <row r="34" spans="2:14" ht="12.75" customHeight="1">
      <c r="B34" s="1015"/>
      <c r="C34" s="1016"/>
      <c r="D34" s="121"/>
      <c r="E34" s="122" t="s">
        <v>244</v>
      </c>
      <c r="F34" s="123" t="s">
        <v>245</v>
      </c>
      <c r="G34" s="122" t="s">
        <v>244</v>
      </c>
      <c r="H34" s="123" t="s">
        <v>245</v>
      </c>
      <c r="I34" s="123" t="s">
        <v>244</v>
      </c>
      <c r="J34" s="123" t="s">
        <v>245</v>
      </c>
      <c r="K34" s="122" t="s">
        <v>244</v>
      </c>
      <c r="L34" s="123" t="s">
        <v>245</v>
      </c>
      <c r="M34" s="122" t="s">
        <v>244</v>
      </c>
      <c r="N34" s="124" t="s">
        <v>245</v>
      </c>
    </row>
    <row r="35" spans="2:14" ht="13">
      <c r="B35" s="14" t="s">
        <v>97</v>
      </c>
      <c r="C35" s="125"/>
      <c r="D35" s="125"/>
      <c r="E35" s="407">
        <f>SUM(E36:E41)</f>
        <v>23742.428665908035</v>
      </c>
      <c r="F35" s="407">
        <f t="shared" ref="F35:N35" si="1">SUM(F36:F41)</f>
        <v>24339.33819020848</v>
      </c>
      <c r="G35" s="407">
        <f t="shared" si="1"/>
        <v>24651.426255873906</v>
      </c>
      <c r="H35" s="407">
        <f t="shared" si="1"/>
        <v>26952.488405317636</v>
      </c>
      <c r="I35" s="407">
        <f t="shared" si="1"/>
        <v>28638.075106185493</v>
      </c>
      <c r="J35" s="407">
        <f t="shared" si="1"/>
        <v>30360.599533886892</v>
      </c>
      <c r="K35" s="407">
        <f t="shared" si="1"/>
        <v>31932.023005770076</v>
      </c>
      <c r="L35" s="407">
        <f t="shared" si="1"/>
        <v>34247.751368582976</v>
      </c>
      <c r="M35" s="407">
        <f t="shared" si="1"/>
        <v>40285.448478868842</v>
      </c>
      <c r="N35" s="408">
        <f t="shared" si="1"/>
        <v>42390.930673526826</v>
      </c>
    </row>
    <row r="36" spans="2:14">
      <c r="B36" s="97" t="s">
        <v>58</v>
      </c>
      <c r="C36" s="98" t="s">
        <v>45</v>
      </c>
      <c r="D36" s="126"/>
      <c r="E36" s="409">
        <f>E8*(D$22/2+E$26)</f>
        <v>6301.4452930540674</v>
      </c>
      <c r="F36" s="409">
        <f>E8*(D$22/2+E$27)</f>
        <v>6314.8156318289011</v>
      </c>
      <c r="G36" s="409">
        <f>F8*(E$22/2+F$26)</f>
        <v>6478.8699141589714</v>
      </c>
      <c r="H36" s="409">
        <f>F8*(E$22/2+F$27)</f>
        <v>6800.9837585910118</v>
      </c>
      <c r="I36" s="409">
        <f>G8*(F$22/2+G$26)</f>
        <v>7104.95853065961</v>
      </c>
      <c r="J36" s="409">
        <f>G8*(F$22/2+G$27)</f>
        <v>7346.0858577372956</v>
      </c>
      <c r="K36" s="409">
        <f>H8*(G$22/2+H$26)</f>
        <v>7802.548458131585</v>
      </c>
      <c r="L36" s="409">
        <f>H8*(G$22/2+H$27)</f>
        <v>8126.7153502715055</v>
      </c>
      <c r="M36" s="409">
        <f>I8*(H$22/2+I$26)</f>
        <v>9090.0518196196226</v>
      </c>
      <c r="N36" s="410">
        <f>I8*(H$22/2+I$27)</f>
        <v>9384.7874330268678</v>
      </c>
    </row>
    <row r="37" spans="2:14">
      <c r="B37" s="102" t="s">
        <v>59</v>
      </c>
      <c r="C37" s="103" t="s">
        <v>45</v>
      </c>
      <c r="D37" s="127"/>
      <c r="E37" s="411">
        <f>E9*(D$22/2+E$26)</f>
        <v>4448.0790303911062</v>
      </c>
      <c r="F37" s="411">
        <f>+E9*(D$22/2+E$27)</f>
        <v>4457.5169165851066</v>
      </c>
      <c r="G37" s="411">
        <f>+F9*(E$22/2+F$26)</f>
        <v>4573.3199394063322</v>
      </c>
      <c r="H37" s="411">
        <f>+F9*(E$22/2+F$27)</f>
        <v>4800.6944178289486</v>
      </c>
      <c r="I37" s="411">
        <f>G9*(F$22/2+G$26)</f>
        <v>5015.2648451714895</v>
      </c>
      <c r="J37" s="411">
        <f>G9*(F$22/2+G$27)</f>
        <v>5185.472370167502</v>
      </c>
      <c r="K37" s="411">
        <f>H9*(G$22/2+H$26)</f>
        <v>5507.6812645634718</v>
      </c>
      <c r="L37" s="411">
        <f>H9*(G$22/2+H$27)</f>
        <v>5736.5049531328268</v>
      </c>
      <c r="M37" s="411">
        <f>I9*(H$22/2+I$26)</f>
        <v>6416.5071667903212</v>
      </c>
      <c r="N37" s="412">
        <f>I9*(H$22/2+I$27)</f>
        <v>6624.5558350777892</v>
      </c>
    </row>
    <row r="38" spans="2:14">
      <c r="B38" s="102" t="s">
        <v>60</v>
      </c>
      <c r="C38" s="103" t="s">
        <v>45</v>
      </c>
      <c r="D38" s="127"/>
      <c r="E38" s="411">
        <f>(-[21]ACTIVOS!D33-[21]ACTIVOS!D88)/2+D10*E26</f>
        <v>5644.2526211978529</v>
      </c>
      <c r="F38" s="411">
        <f>(-[21]ACTIVOS!D33-[21]ACTIVOS!D88)/2+D10*E27</f>
        <v>5668.123239389296</v>
      </c>
      <c r="G38" s="411">
        <f>(-[21]ACTIVOS!E33-[21]ACTIVOS!E88)/2+D10*F26</f>
        <v>5949.2993682674905</v>
      </c>
      <c r="H38" s="411">
        <f>(-[21]ACTIVOS!E33-[21]ACTIVOS!E88)/2+D10*F27</f>
        <v>6524.3825224122647</v>
      </c>
      <c r="I38" s="411">
        <f>(-[21]ACTIVOS!F33-[21]ACTIVOS!F88)/2+D10*G26</f>
        <v>6972.5166391291596</v>
      </c>
      <c r="J38" s="411">
        <f>(-[21]ACTIVOS!F33-[21]ACTIVOS!F88)/2+D10*G27</f>
        <v>7403.0112179971893</v>
      </c>
      <c r="K38" s="411">
        <f>(-[21]ACTIVOS!G33-[21]ACTIVOS!G88)/2+D10*H26</f>
        <v>7646.7944829352737</v>
      </c>
      <c r="L38" s="411">
        <f>(-[21]ACTIVOS!G33-[21]ACTIVOS!G88)/2+D10*H27</f>
        <v>8225.543027971702</v>
      </c>
      <c r="M38" s="411">
        <f>(-[21]ACTIVOS!H33-[21]ACTIVOS!H88)/2+D10*I26</f>
        <v>9873.5618111486765</v>
      </c>
      <c r="N38" s="412">
        <f>(-[21]ACTIVOS!H33-[21]ACTIVOS!H88)/2+D10*I27</f>
        <v>10399.765478351794</v>
      </c>
    </row>
    <row r="39" spans="2:14">
      <c r="B39" s="102" t="s">
        <v>61</v>
      </c>
      <c r="C39" s="103" t="s">
        <v>45</v>
      </c>
      <c r="D39" s="127"/>
      <c r="E39" s="411">
        <f>$D$11*(D17/2+E26)</f>
        <v>7146.093921265011</v>
      </c>
      <c r="F39" s="11">
        <f>$D$11*(D17/2+E27)</f>
        <v>7194.9278324051775</v>
      </c>
      <c r="G39" s="411">
        <f>$D$11*(E17/2+F26)</f>
        <v>7409.8792340411137</v>
      </c>
      <c r="H39" s="411">
        <f>$D$11*(E17/2+F27)</f>
        <v>8586.3699064854118</v>
      </c>
      <c r="I39" s="411">
        <f>$D$11*(F17/2+G26)</f>
        <v>9305.2772912252349</v>
      </c>
      <c r="J39" s="411">
        <f>$D$11*(F17/2+G27)</f>
        <v>10185.972287984907</v>
      </c>
      <c r="K39" s="411">
        <f>$D$11*(G17/2+H26)</f>
        <v>10484.941000139745</v>
      </c>
      <c r="L39" s="411">
        <f>$D$11*(G17/2+H27)</f>
        <v>11668.930237206938</v>
      </c>
      <c r="M39" s="411">
        <f>$D$11*(H17/2+I26)</f>
        <v>14665.269881310218</v>
      </c>
      <c r="N39" s="412">
        <f>$D$11*(H17/2+I27)</f>
        <v>15741.764127070373</v>
      </c>
    </row>
    <row r="40" spans="2:14">
      <c r="B40" s="102" t="s">
        <v>98</v>
      </c>
      <c r="C40" s="103" t="s">
        <v>45</v>
      </c>
      <c r="D40" s="127"/>
      <c r="E40" s="411">
        <f>405.1156/2</f>
        <v>202.55779999999999</v>
      </c>
      <c r="F40" s="411">
        <f t="shared" ref="F40:N40" si="2">405.1156/2</f>
        <v>202.55779999999999</v>
      </c>
      <c r="G40" s="411">
        <f t="shared" si="2"/>
        <v>202.55779999999999</v>
      </c>
      <c r="H40" s="411">
        <f t="shared" si="2"/>
        <v>202.55779999999999</v>
      </c>
      <c r="I40" s="411">
        <f t="shared" si="2"/>
        <v>202.55779999999999</v>
      </c>
      <c r="J40" s="411">
        <f t="shared" si="2"/>
        <v>202.55779999999999</v>
      </c>
      <c r="K40" s="411">
        <f t="shared" si="2"/>
        <v>202.55779999999999</v>
      </c>
      <c r="L40" s="411">
        <f t="shared" si="2"/>
        <v>202.55779999999999</v>
      </c>
      <c r="M40" s="411">
        <f t="shared" si="2"/>
        <v>202.55779999999999</v>
      </c>
      <c r="N40" s="412">
        <f t="shared" si="2"/>
        <v>202.55779999999999</v>
      </c>
    </row>
    <row r="41" spans="2:14">
      <c r="B41" s="102" t="s">
        <v>246</v>
      </c>
      <c r="C41" s="103"/>
      <c r="D41" s="127"/>
      <c r="E41" s="411"/>
      <c r="F41" s="411">
        <f>456.39677+45</f>
        <v>501.39677</v>
      </c>
      <c r="G41" s="411">
        <v>37.5</v>
      </c>
      <c r="H41" s="411">
        <v>37.5</v>
      </c>
      <c r="I41" s="411">
        <v>37.5</v>
      </c>
      <c r="J41" s="411">
        <v>37.5</v>
      </c>
      <c r="K41" s="411">
        <f>37.5+250</f>
        <v>287.5</v>
      </c>
      <c r="L41" s="411">
        <f>37.5+250</f>
        <v>287.5</v>
      </c>
      <c r="M41" s="411">
        <v>37.5</v>
      </c>
      <c r="N41" s="412">
        <v>37.5</v>
      </c>
    </row>
    <row r="42" spans="2:14">
      <c r="B42" s="106"/>
      <c r="C42" s="107"/>
      <c r="D42" s="128"/>
      <c r="E42" s="413"/>
      <c r="F42" s="413"/>
      <c r="G42" s="413"/>
      <c r="H42" s="413"/>
      <c r="I42" s="413"/>
      <c r="J42" s="413"/>
      <c r="K42" s="413"/>
      <c r="L42" s="413"/>
      <c r="M42" s="413"/>
      <c r="N42" s="414"/>
    </row>
    <row r="43" spans="2:14" ht="26">
      <c r="B43" s="15" t="s">
        <v>99</v>
      </c>
      <c r="C43" s="128"/>
      <c r="D43" s="128"/>
      <c r="E43" s="415">
        <f t="shared" ref="E43:J43" si="3">SUM(E44:E47)</f>
        <v>0</v>
      </c>
      <c r="F43" s="415">
        <f t="shared" si="3"/>
        <v>0</v>
      </c>
      <c r="G43" s="415">
        <f t="shared" si="3"/>
        <v>0</v>
      </c>
      <c r="H43" s="415">
        <f t="shared" si="3"/>
        <v>0</v>
      </c>
      <c r="I43" s="415">
        <f t="shared" si="3"/>
        <v>0</v>
      </c>
      <c r="J43" s="415">
        <f t="shared" si="3"/>
        <v>0</v>
      </c>
      <c r="K43" s="415">
        <f t="shared" ref="K43:N43" si="4">SUM(K44:K47)</f>
        <v>0</v>
      </c>
      <c r="L43" s="415">
        <f t="shared" si="4"/>
        <v>0</v>
      </c>
      <c r="M43" s="415">
        <f t="shared" si="4"/>
        <v>19066.56807646832</v>
      </c>
      <c r="N43" s="416">
        <f t="shared" si="4"/>
        <v>19066.56807646832</v>
      </c>
    </row>
    <row r="44" spans="2:14" ht="13">
      <c r="B44" s="102" t="s">
        <v>58</v>
      </c>
      <c r="C44" s="98" t="s">
        <v>45</v>
      </c>
      <c r="D44" s="127"/>
      <c r="E44" s="417"/>
      <c r="F44" s="417"/>
      <c r="G44" s="417"/>
      <c r="H44" s="409"/>
      <c r="I44" s="409"/>
      <c r="J44" s="409"/>
      <c r="K44" s="409">
        <f>H8*(G23/2+H28)</f>
        <v>0</v>
      </c>
      <c r="L44" s="409">
        <f>H8*(G23/2+H29)</f>
        <v>0</v>
      </c>
      <c r="M44" s="409">
        <f>I8*(H23/2+I28)</f>
        <v>2669.0307103270252</v>
      </c>
      <c r="N44" s="410">
        <f>I8*(H23/2+I29)</f>
        <v>2669.0307103270252</v>
      </c>
    </row>
    <row r="45" spans="2:14" ht="13">
      <c r="B45" s="102" t="s">
        <v>59</v>
      </c>
      <c r="C45" s="103" t="s">
        <v>45</v>
      </c>
      <c r="D45" s="127"/>
      <c r="E45" s="417"/>
      <c r="F45" s="417"/>
      <c r="G45" s="417"/>
      <c r="H45" s="411"/>
      <c r="I45" s="411"/>
      <c r="J45" s="411"/>
      <c r="K45" s="411">
        <f>H9*(G$23/2+H$28)</f>
        <v>0</v>
      </c>
      <c r="L45" s="411">
        <f>H9*(G$23/2+H$29)</f>
        <v>0</v>
      </c>
      <c r="M45" s="411">
        <f>I9*(H$23/2+I$28)</f>
        <v>1884.0216778778999</v>
      </c>
      <c r="N45" s="412">
        <f>I9*(H$23/2+I$29)</f>
        <v>1884.0216778778999</v>
      </c>
    </row>
    <row r="46" spans="2:14">
      <c r="B46" s="102" t="s">
        <v>60</v>
      </c>
      <c r="C46" s="103" t="s">
        <v>45</v>
      </c>
      <c r="D46" s="127"/>
      <c r="E46" s="411"/>
      <c r="F46" s="411"/>
      <c r="G46" s="411"/>
      <c r="H46" s="411"/>
      <c r="I46" s="411"/>
      <c r="J46" s="411"/>
      <c r="K46" s="411"/>
      <c r="L46" s="411"/>
      <c r="M46" s="411">
        <f>-[21]ACTIVOS!H60/2+D10*I28</f>
        <v>4765.1307943951715</v>
      </c>
      <c r="N46" s="412">
        <f>-[21]ACTIVOS!H60/2+D10*I29</f>
        <v>4765.1307943951715</v>
      </c>
    </row>
    <row r="47" spans="2:14">
      <c r="B47" s="102" t="s">
        <v>61</v>
      </c>
      <c r="C47" s="103" t="s">
        <v>45</v>
      </c>
      <c r="D47" s="127"/>
      <c r="E47" s="411"/>
      <c r="F47" s="411"/>
      <c r="G47" s="411"/>
      <c r="H47" s="418"/>
      <c r="I47" s="418"/>
      <c r="J47" s="418"/>
      <c r="K47" s="418"/>
      <c r="L47" s="418"/>
      <c r="M47" s="418">
        <f>$D$11*(H18/2+I28)</f>
        <v>9748.384893868224</v>
      </c>
      <c r="N47" s="419">
        <f>$D$11*(H18/2+I29)</f>
        <v>9748.384893868224</v>
      </c>
    </row>
    <row r="48" spans="2:14" ht="13" thickBot="1">
      <c r="B48" s="119"/>
      <c r="C48" s="120"/>
      <c r="D48" s="129"/>
      <c r="E48" s="130"/>
      <c r="F48" s="130"/>
      <c r="G48" s="130"/>
      <c r="H48" s="130"/>
      <c r="I48" s="130"/>
      <c r="J48" s="130"/>
      <c r="K48" s="130"/>
      <c r="L48" s="130"/>
      <c r="M48" s="130"/>
      <c r="N48" s="131"/>
    </row>
    <row r="49" spans="2:15" ht="13">
      <c r="B49" s="74" t="s">
        <v>62</v>
      </c>
      <c r="C49" s="128"/>
      <c r="D49" s="128"/>
      <c r="E49" s="415">
        <f>SUM(E50:E53)</f>
        <v>1562.5492316312316</v>
      </c>
      <c r="F49" s="415">
        <f t="shared" ref="F49:N49" si="5">SUM(F50:F53)</f>
        <v>1749.8032425155825</v>
      </c>
      <c r="G49" s="415">
        <f t="shared" si="5"/>
        <v>2086.6163326286228</v>
      </c>
      <c r="H49" s="415">
        <f t="shared" si="5"/>
        <v>2607.4008958051099</v>
      </c>
      <c r="I49" s="415">
        <f t="shared" si="5"/>
        <v>2559.449984126014</v>
      </c>
      <c r="J49" s="415">
        <f t="shared" si="5"/>
        <v>2559.449984126014</v>
      </c>
      <c r="K49" s="415">
        <f t="shared" si="5"/>
        <v>2516.7109091234051</v>
      </c>
      <c r="L49" s="415">
        <f t="shared" si="5"/>
        <v>2516.7109091234051</v>
      </c>
      <c r="M49" s="415">
        <f t="shared" si="5"/>
        <v>2473.9718341207958</v>
      </c>
      <c r="N49" s="416">
        <f t="shared" si="5"/>
        <v>2473.9718341207958</v>
      </c>
    </row>
    <row r="50" spans="2:15">
      <c r="B50" s="102" t="s">
        <v>58</v>
      </c>
      <c r="C50" s="98" t="s">
        <v>45</v>
      </c>
      <c r="D50" s="127"/>
      <c r="E50" s="411">
        <f>E8*(D$24/2+E$30)</f>
        <v>519.71133758130452</v>
      </c>
      <c r="F50" s="411">
        <f>E8*(D$24/2+E$31)</f>
        <v>545.9240625813045</v>
      </c>
      <c r="G50" s="411">
        <f>F8*(E$24/2+F$30)</f>
        <v>598.7281875813045</v>
      </c>
      <c r="H50" s="411">
        <f>F8*(E$24/2+F$31)</f>
        <v>671.63013758130444</v>
      </c>
      <c r="I50" s="411">
        <f>G8*(F$24/2+G$30)</f>
        <v>671.63013758130444</v>
      </c>
      <c r="J50" s="411">
        <f>G8*(F$24/2+G$31)</f>
        <v>671.63013758130444</v>
      </c>
      <c r="K50" s="411">
        <f>H8*(G$24/2+H$30)</f>
        <v>671.63013758130444</v>
      </c>
      <c r="L50" s="411">
        <f>H8*(G$24/2+H$31)</f>
        <v>671.63013758130444</v>
      </c>
      <c r="M50" s="411">
        <f>I8*(H$24/2+I$30)</f>
        <v>671.63013758130444</v>
      </c>
      <c r="N50" s="412">
        <f>I8*(H$24/2+I$31)</f>
        <v>671.63013758130444</v>
      </c>
    </row>
    <row r="51" spans="2:15">
      <c r="B51" s="102" t="s">
        <v>59</v>
      </c>
      <c r="C51" s="103" t="s">
        <v>45</v>
      </c>
      <c r="D51" s="127"/>
      <c r="E51" s="411">
        <f>E9*(D$24/2+E$30)</f>
        <v>366.85506182209724</v>
      </c>
      <c r="F51" s="411">
        <f>E9*(D$24/2+E$31)</f>
        <v>385.35816182209726</v>
      </c>
      <c r="G51" s="411">
        <f>F9*(E$24/2+F$30)</f>
        <v>422.63166182209721</v>
      </c>
      <c r="H51" s="411">
        <f>F9*(E$24/2+F$31)</f>
        <v>474.0918618220972</v>
      </c>
      <c r="I51" s="411">
        <f>G9*(F$24/2+G$30)</f>
        <v>474.0918618220972</v>
      </c>
      <c r="J51" s="411">
        <f>G9*(F$24/2+G$31)</f>
        <v>474.0918618220972</v>
      </c>
      <c r="K51" s="411">
        <f>H9*(G$24/2+H$30)</f>
        <v>474.0918618220972</v>
      </c>
      <c r="L51" s="411">
        <f>H9*(G$24/2+H$31)</f>
        <v>474.0918618220972</v>
      </c>
      <c r="M51" s="411">
        <f>I9*(H$24/2+I$30)</f>
        <v>474.0918618220972</v>
      </c>
      <c r="N51" s="412">
        <f>I9*(H$24/2+I$31)</f>
        <v>474.0918618220972</v>
      </c>
    </row>
    <row r="52" spans="2:15">
      <c r="B52" s="102" t="s">
        <v>60</v>
      </c>
      <c r="C52" s="103" t="s">
        <v>45</v>
      </c>
      <c r="D52" s="127"/>
      <c r="E52" s="411">
        <f>-[21]ACTIVOS!D116/2+D10*E30</f>
        <v>382.03512448914898</v>
      </c>
      <c r="F52" s="411">
        <f>-[21]ACTIVOS!D116/2+D10*E31</f>
        <v>428.83378537349972</v>
      </c>
      <c r="G52" s="411">
        <f>-[21]ACTIVOS!E116/2+D10*F30</f>
        <v>508.80012448914897</v>
      </c>
      <c r="H52" s="411">
        <f>-[21]ACTIVOS!E116/2+D10*F31</f>
        <v>638.95498766563639</v>
      </c>
      <c r="I52" s="411">
        <f>-[21]ACTIVOS!F116/2+D10*G30</f>
        <v>625.75512448914901</v>
      </c>
      <c r="J52" s="411">
        <f>-[21]ACTIVOS!F116/2+D10*G31</f>
        <v>625.75512448914901</v>
      </c>
      <c r="K52" s="411">
        <f>-[21]ACTIVOS!G116/2+D10*H30</f>
        <v>625.75512448914901</v>
      </c>
      <c r="L52" s="411">
        <f>-[21]ACTIVOS!G116/2+D10*H31</f>
        <v>625.75512448914901</v>
      </c>
      <c r="M52" s="411">
        <f>-[21]ACTIVOS!H116/2+D10*I30</f>
        <v>625.75512448914901</v>
      </c>
      <c r="N52" s="412">
        <f>-[21]ACTIVOS!H116/2+D10*I31</f>
        <v>625.75512448914901</v>
      </c>
    </row>
    <row r="53" spans="2:15">
      <c r="B53" s="106" t="s">
        <v>61</v>
      </c>
      <c r="C53" s="107" t="s">
        <v>45</v>
      </c>
      <c r="D53" s="128"/>
      <c r="E53" s="413">
        <f>+$D$11*(D19/2+E30)</f>
        <v>293.94770773868089</v>
      </c>
      <c r="F53" s="413">
        <f>+$D$11*(D19/2+E31)</f>
        <v>389.68723273868085</v>
      </c>
      <c r="G53" s="413">
        <f>+$D$11*(E19/2+F30)</f>
        <v>556.45635873607205</v>
      </c>
      <c r="H53" s="413">
        <f>+$D$11*(E19/2+F31)</f>
        <v>822.72390873607196</v>
      </c>
      <c r="I53" s="413">
        <f>+$D$11*(F19/2+G30)</f>
        <v>787.97286023346305</v>
      </c>
      <c r="J53" s="413">
        <f>+$D$11*(F19/2+G31)</f>
        <v>787.97286023346305</v>
      </c>
      <c r="K53" s="413">
        <f>+$D$11*(G19/2+H30)</f>
        <v>745.23378523085432</v>
      </c>
      <c r="L53" s="413">
        <f>+$D$11*(G19/2+H31)</f>
        <v>745.23378523085432</v>
      </c>
      <c r="M53" s="413">
        <f>+$D$11*(H19/2+I30)</f>
        <v>702.49471022824525</v>
      </c>
      <c r="N53" s="414">
        <f>+$D$11*(H19/2+I31)</f>
        <v>702.49471022824525</v>
      </c>
    </row>
    <row r="54" spans="2:15">
      <c r="B54" s="102"/>
      <c r="C54" s="107"/>
      <c r="D54" s="127"/>
      <c r="E54" s="411"/>
      <c r="F54" s="411"/>
      <c r="G54" s="411"/>
      <c r="H54" s="411"/>
      <c r="J54" s="411"/>
      <c r="K54" s="411"/>
      <c r="L54" s="411"/>
      <c r="M54" s="411"/>
      <c r="N54" s="412"/>
    </row>
    <row r="55" spans="2:15" ht="13">
      <c r="B55" s="14" t="s">
        <v>63</v>
      </c>
      <c r="C55" s="125"/>
      <c r="D55" s="125"/>
      <c r="E55" s="420">
        <f>SUM(E56:E57)</f>
        <v>4018.3760319549992</v>
      </c>
      <c r="F55" s="420">
        <f t="shared" ref="F55:N55" si="6">SUM(F56:F57)</f>
        <v>5446.2451419549989</v>
      </c>
      <c r="G55" s="420">
        <f t="shared" si="6"/>
        <v>4874.9175990399999</v>
      </c>
      <c r="H55" s="420">
        <f t="shared" si="6"/>
        <v>5167.2775990399996</v>
      </c>
      <c r="I55" s="420">
        <f t="shared" si="6"/>
        <v>8115.9753925249997</v>
      </c>
      <c r="J55" s="420">
        <f t="shared" si="6"/>
        <v>5121.5353925250001</v>
      </c>
      <c r="K55" s="420">
        <f t="shared" si="6"/>
        <v>5386.7574360099998</v>
      </c>
      <c r="L55" s="420">
        <f t="shared" si="6"/>
        <v>5770.1574360099994</v>
      </c>
      <c r="M55" s="420">
        <f t="shared" si="6"/>
        <v>5875.024937369999</v>
      </c>
      <c r="N55" s="421">
        <f t="shared" si="6"/>
        <v>5133.2249373699997</v>
      </c>
    </row>
    <row r="56" spans="2:15">
      <c r="B56" s="102" t="s">
        <v>71</v>
      </c>
      <c r="C56" s="98" t="s">
        <v>45</v>
      </c>
      <c r="D56" s="422"/>
      <c r="E56" s="423">
        <f>[21]CND!B9</f>
        <v>2367.7561405299994</v>
      </c>
      <c r="F56" s="423">
        <f>[21]CND!C9</f>
        <v>3763.125250529999</v>
      </c>
      <c r="G56" s="423">
        <f>[21]CND!D9</f>
        <v>3086.7081513399999</v>
      </c>
      <c r="H56" s="423">
        <f>[21]CND!E9</f>
        <v>3453.5681513399995</v>
      </c>
      <c r="I56" s="423">
        <f>[21]CND!F9</f>
        <v>3516.1801621499999</v>
      </c>
      <c r="J56" s="423">
        <f>[21]CND!G9</f>
        <v>3066.7801621499998</v>
      </c>
      <c r="K56" s="423">
        <f>[21]CND!H9</f>
        <v>3001.8921729599997</v>
      </c>
      <c r="L56" s="423">
        <f>[21]CND!I9</f>
        <v>3687.4921729599996</v>
      </c>
      <c r="M56" s="423">
        <f>[21]CND!J9</f>
        <v>3206.7041837699994</v>
      </c>
      <c r="N56" s="424">
        <f>[21]CND!K9</f>
        <v>3057.6041837699995</v>
      </c>
    </row>
    <row r="57" spans="2:15">
      <c r="B57" s="102" t="s">
        <v>64</v>
      </c>
      <c r="C57" s="103" t="s">
        <v>45</v>
      </c>
      <c r="D57" s="422"/>
      <c r="E57" s="425">
        <f>[21]HID!B8/1000+(-[21]ACTIVOS!D145+$D$11*D20)/2</f>
        <v>1650.6198914250001</v>
      </c>
      <c r="F57" s="425">
        <f>[21]HID!C8/1000+(-[21]ACTIVOS!D145+$D$11*D20)/2</f>
        <v>1683.1198914250001</v>
      </c>
      <c r="G57" s="425">
        <f>[21]HID!D8/1000+(-[21]ACTIVOS!E145+$D$11*E20)/2</f>
        <v>1788.2094476999998</v>
      </c>
      <c r="H57" s="425">
        <f>[21]HID!E8/1000+(-[21]ACTIVOS!E145+$D$11*E20)/2</f>
        <v>1713.7094476999998</v>
      </c>
      <c r="I57" s="425">
        <f>[21]HID!F8/1000+(-[21]ACTIVOS!F145+$D$11*F20)/2</f>
        <v>4599.7952303749998</v>
      </c>
      <c r="J57" s="425">
        <f>[21]HID!G8/1000+(-[21]ACTIVOS!F145+$D$11*F20)/2</f>
        <v>2054.7552303749999</v>
      </c>
      <c r="K57" s="425">
        <f>[21]HID!H8/1000+(-[21]ACTIVOS!G145+$D$11*G20)/2</f>
        <v>2384.8652630500001</v>
      </c>
      <c r="L57" s="425">
        <f>[21]HID!I8/1000+(-[21]ACTIVOS!G145+$D$11*G20)/2</f>
        <v>2082.6652630499998</v>
      </c>
      <c r="M57" s="425">
        <f>[21]HID!J8/1000+(-[21]ACTIVOS!H145+$D$11*H20)/2</f>
        <v>2668.3207535999995</v>
      </c>
      <c r="N57" s="426">
        <f>[21]HID!K8/1000+(-[21]ACTIVOS!H145+$D$11*H20)/2</f>
        <v>2075.6207535999997</v>
      </c>
      <c r="O57" s="132"/>
    </row>
    <row r="58" spans="2:15">
      <c r="B58" s="102"/>
      <c r="C58" s="107"/>
      <c r="D58" s="127"/>
      <c r="E58" s="134"/>
      <c r="F58" s="134"/>
      <c r="G58" s="134"/>
      <c r="H58" s="134"/>
      <c r="I58" s="134"/>
      <c r="J58" s="135"/>
      <c r="K58" s="135"/>
      <c r="L58" s="135"/>
      <c r="M58" s="135"/>
      <c r="N58" s="136"/>
    </row>
    <row r="59" spans="2:15" ht="13.5" thickBot="1">
      <c r="B59" s="16" t="s">
        <v>2</v>
      </c>
      <c r="C59" s="120" t="s">
        <v>45</v>
      </c>
      <c r="D59" s="137"/>
      <c r="E59" s="427">
        <f t="shared" ref="E59:N59" si="7">E35+E49+E55</f>
        <v>29323.353929494264</v>
      </c>
      <c r="F59" s="427">
        <f t="shared" si="7"/>
        <v>31535.386574679062</v>
      </c>
      <c r="G59" s="427">
        <f t="shared" si="7"/>
        <v>31612.960187542529</v>
      </c>
      <c r="H59" s="427">
        <f t="shared" si="7"/>
        <v>34727.166900162745</v>
      </c>
      <c r="I59" s="427">
        <f t="shared" si="7"/>
        <v>39313.500482836505</v>
      </c>
      <c r="J59" s="427">
        <f t="shared" si="7"/>
        <v>38041.584910537909</v>
      </c>
      <c r="K59" s="427">
        <f t="shared" si="7"/>
        <v>39835.491350903481</v>
      </c>
      <c r="L59" s="427">
        <f t="shared" si="7"/>
        <v>42534.619713716376</v>
      </c>
      <c r="M59" s="427">
        <f t="shared" si="7"/>
        <v>48634.44525035964</v>
      </c>
      <c r="N59" s="428">
        <f t="shared" si="7"/>
        <v>49998.127445017628</v>
      </c>
    </row>
    <row r="60" spans="2:15">
      <c r="E60" s="429"/>
      <c r="F60" s="429"/>
      <c r="G60" s="429"/>
      <c r="H60" s="429"/>
      <c r="I60" s="429"/>
      <c r="J60" s="429"/>
      <c r="K60" s="429"/>
      <c r="L60" s="429"/>
      <c r="M60" s="429"/>
      <c r="N60" s="429"/>
    </row>
    <row r="61" spans="2:15">
      <c r="E61" s="429"/>
      <c r="F61" s="429"/>
      <c r="G61" s="429"/>
      <c r="H61" s="429"/>
      <c r="I61" s="429"/>
      <c r="J61" s="429"/>
      <c r="K61" s="429"/>
      <c r="L61" s="429"/>
      <c r="M61" s="429"/>
      <c r="N61" s="429"/>
    </row>
    <row r="62" spans="2:15" ht="13">
      <c r="B62" s="974" t="s">
        <v>35</v>
      </c>
      <c r="C62" s="974"/>
      <c r="D62" s="974"/>
      <c r="E62" s="974"/>
      <c r="F62" s="974"/>
      <c r="G62" s="974"/>
      <c r="H62" s="974"/>
      <c r="I62" s="974"/>
    </row>
    <row r="63" spans="2:15" ht="13">
      <c r="B63" s="974" t="s">
        <v>65</v>
      </c>
      <c r="C63" s="974"/>
      <c r="D63" s="974"/>
      <c r="E63" s="974"/>
      <c r="F63" s="974"/>
      <c r="G63" s="974"/>
      <c r="H63" s="974"/>
      <c r="I63" s="974"/>
    </row>
    <row r="64" spans="2:15" ht="13">
      <c r="B64" s="974" t="s">
        <v>100</v>
      </c>
      <c r="C64" s="974"/>
      <c r="D64" s="974"/>
      <c r="E64" s="974"/>
      <c r="F64" s="974"/>
      <c r="G64" s="974"/>
      <c r="H64" s="974"/>
      <c r="I64" s="974"/>
    </row>
    <row r="65" spans="2:15" ht="3" customHeight="1">
      <c r="B65" s="4"/>
      <c r="C65" s="5"/>
      <c r="D65" s="5"/>
      <c r="E65" s="5"/>
      <c r="F65" s="5"/>
      <c r="G65" s="5"/>
      <c r="H65" s="5"/>
      <c r="I65" s="5"/>
    </row>
    <row r="66" spans="2:15" ht="3" customHeight="1" thickBot="1">
      <c r="B66" s="4"/>
      <c r="C66" s="5"/>
      <c r="D66" s="5"/>
      <c r="E66" s="5"/>
      <c r="F66" s="5"/>
      <c r="G66" s="5"/>
      <c r="H66" s="5"/>
      <c r="I66" s="5"/>
    </row>
    <row r="67" spans="2:15" ht="14">
      <c r="B67" s="430" t="s">
        <v>66</v>
      </c>
      <c r="C67" s="431"/>
      <c r="D67" s="432"/>
      <c r="E67" s="433">
        <v>2013</v>
      </c>
      <c r="F67" s="434">
        <v>2014</v>
      </c>
      <c r="G67" s="433">
        <v>2015</v>
      </c>
      <c r="H67" s="434">
        <v>2016</v>
      </c>
      <c r="I67" s="435">
        <v>2017</v>
      </c>
    </row>
    <row r="68" spans="2:15" ht="14">
      <c r="B68" s="17" t="s">
        <v>101</v>
      </c>
      <c r="C68" s="436"/>
      <c r="D68" s="18"/>
      <c r="E68" s="18"/>
      <c r="F68" s="437"/>
      <c r="G68" s="437"/>
      <c r="H68" s="437"/>
      <c r="I68" s="438"/>
    </row>
    <row r="69" spans="2:15" ht="14">
      <c r="B69" s="138" t="s">
        <v>97</v>
      </c>
      <c r="C69" s="139"/>
      <c r="D69" s="19"/>
      <c r="E69" s="439">
        <f>+E35+F35</f>
        <v>48081.766856116519</v>
      </c>
      <c r="F69" s="440">
        <f>+G35+H35</f>
        <v>51603.914661191542</v>
      </c>
      <c r="G69" s="440">
        <f>+I35+J35</f>
        <v>58998.674640072386</v>
      </c>
      <c r="H69" s="440">
        <f>+K35+L35</f>
        <v>66179.774374353059</v>
      </c>
      <c r="I69" s="441">
        <f>+M35+N35</f>
        <v>82676.379152395675</v>
      </c>
      <c r="J69" s="442"/>
    </row>
    <row r="70" spans="2:15" ht="14">
      <c r="B70" s="443" t="s">
        <v>99</v>
      </c>
      <c r="C70" s="139"/>
      <c r="D70" s="19"/>
      <c r="E70" s="439">
        <f>+E43+F43</f>
        <v>0</v>
      </c>
      <c r="F70" s="440">
        <f>+G43+H43</f>
        <v>0</v>
      </c>
      <c r="G70" s="440">
        <f>+I43+J43</f>
        <v>0</v>
      </c>
      <c r="H70" s="440">
        <f>+K43+L43</f>
        <v>0</v>
      </c>
      <c r="I70" s="444">
        <f>+M43+N43</f>
        <v>38133.13615293664</v>
      </c>
      <c r="J70" s="445"/>
    </row>
    <row r="71" spans="2:15" ht="14">
      <c r="B71" s="138" t="s">
        <v>62</v>
      </c>
      <c r="C71" s="139"/>
      <c r="D71" s="19"/>
      <c r="E71" s="439">
        <f>+E49+F49</f>
        <v>3312.3524741468141</v>
      </c>
      <c r="F71" s="440">
        <f>+G49+H49</f>
        <v>4694.0172284337332</v>
      </c>
      <c r="G71" s="440">
        <f>+I49+J49</f>
        <v>5118.899968252028</v>
      </c>
      <c r="H71" s="440">
        <f>K49+L49</f>
        <v>5033.4218182468103</v>
      </c>
      <c r="I71" s="441">
        <f>+M49+N49</f>
        <v>4947.9436682415917</v>
      </c>
      <c r="J71" s="442"/>
    </row>
    <row r="72" spans="2:15" ht="14">
      <c r="B72" s="138" t="s">
        <v>63</v>
      </c>
      <c r="C72" s="139"/>
      <c r="D72" s="19"/>
      <c r="E72" s="439">
        <f>+E55+F55</f>
        <v>9464.6211739099981</v>
      </c>
      <c r="F72" s="440">
        <f>+G55+H55</f>
        <v>10042.19519808</v>
      </c>
      <c r="G72" s="440">
        <f>+I55+J55</f>
        <v>13237.510785049999</v>
      </c>
      <c r="H72" s="440">
        <f>+K55+L55</f>
        <v>11156.914872019999</v>
      </c>
      <c r="I72" s="441">
        <f>+M55+N55</f>
        <v>11008.249874739999</v>
      </c>
      <c r="J72" s="442"/>
      <c r="M72">
        <f>+E80*1000</f>
        <v>10321162.740994997</v>
      </c>
    </row>
    <row r="73" spans="2:15" ht="14">
      <c r="B73" s="138" t="s">
        <v>102</v>
      </c>
      <c r="C73" s="139"/>
      <c r="D73" s="19"/>
      <c r="E73" s="439">
        <f t="shared" ref="E73:E74" si="8">+E56+F56</f>
        <v>6130.8813910599984</v>
      </c>
      <c r="F73" s="440">
        <f t="shared" ref="F73:F74" si="9">+G56+H56</f>
        <v>6540.2763026799994</v>
      </c>
      <c r="G73" s="440">
        <f t="shared" ref="G73:G74" si="10">+I56+J56</f>
        <v>6582.9603243000001</v>
      </c>
      <c r="H73" s="440">
        <f t="shared" ref="H73:H74" si="11">+K56+L56</f>
        <v>6689.3843459199998</v>
      </c>
      <c r="I73" s="441">
        <f>+M56+N56</f>
        <v>6264.3083675399994</v>
      </c>
      <c r="J73" s="442"/>
    </row>
    <row r="74" spans="2:15" ht="14">
      <c r="B74" s="138" t="s">
        <v>64</v>
      </c>
      <c r="C74" s="139"/>
      <c r="D74" s="19"/>
      <c r="E74" s="439">
        <f t="shared" si="8"/>
        <v>3333.7397828500002</v>
      </c>
      <c r="F74" s="440">
        <f t="shared" si="9"/>
        <v>3501.9188953999997</v>
      </c>
      <c r="G74" s="440">
        <f t="shared" si="10"/>
        <v>6654.5504607499997</v>
      </c>
      <c r="H74" s="440">
        <f t="shared" si="11"/>
        <v>4467.5305260999994</v>
      </c>
      <c r="I74" s="441">
        <f>+M57+N57</f>
        <v>4743.9415071999993</v>
      </c>
      <c r="J74" s="442"/>
    </row>
    <row r="75" spans="2:15" ht="14">
      <c r="B75" s="138"/>
      <c r="C75" s="139"/>
      <c r="D75" s="19"/>
      <c r="E75" s="19"/>
      <c r="F75" s="20"/>
      <c r="G75" s="20"/>
      <c r="H75" s="20"/>
      <c r="I75" s="21"/>
    </row>
    <row r="76" spans="2:15" ht="14">
      <c r="B76" s="17" t="s">
        <v>103</v>
      </c>
      <c r="C76" s="140"/>
      <c r="D76" s="18"/>
      <c r="E76" s="22" t="s">
        <v>68</v>
      </c>
      <c r="F76" s="22" t="s">
        <v>104</v>
      </c>
      <c r="G76" s="22" t="s">
        <v>105</v>
      </c>
      <c r="H76" s="22" t="s">
        <v>106</v>
      </c>
      <c r="I76" s="23" t="s">
        <v>107</v>
      </c>
    </row>
    <row r="77" spans="2:15" ht="14">
      <c r="B77" s="24" t="s">
        <v>97</v>
      </c>
      <c r="C77" s="141"/>
      <c r="D77" s="19"/>
      <c r="E77" s="439">
        <f>+F35+G35</f>
        <v>48990.764446082387</v>
      </c>
      <c r="F77" s="439">
        <f>+H35+I35</f>
        <v>55590.563511503133</v>
      </c>
      <c r="G77" s="439">
        <f>+J35+K35</f>
        <v>62292.622539656964</v>
      </c>
      <c r="H77" s="439">
        <f>+L35+M35</f>
        <v>74533.199847451819</v>
      </c>
      <c r="I77" s="441"/>
    </row>
    <row r="78" spans="2:15" ht="14">
      <c r="B78" s="25" t="s">
        <v>99</v>
      </c>
      <c r="C78" s="141"/>
      <c r="D78" s="19"/>
      <c r="E78" s="439">
        <f>+F43+G43</f>
        <v>0</v>
      </c>
      <c r="F78" s="439">
        <f>+H43+I43</f>
        <v>0</v>
      </c>
      <c r="G78" s="446">
        <f>+J43+K43</f>
        <v>0</v>
      </c>
      <c r="H78" s="446">
        <f>+L43+M43</f>
        <v>19066.56807646832</v>
      </c>
      <c r="I78" s="441"/>
      <c r="J78" s="445"/>
    </row>
    <row r="79" spans="2:15" ht="14.25" customHeight="1">
      <c r="B79" s="24" t="s">
        <v>62</v>
      </c>
      <c r="C79" s="141"/>
      <c r="D79" s="19"/>
      <c r="E79" s="439">
        <f>+F49+G49</f>
        <v>3836.4195751442053</v>
      </c>
      <c r="F79" s="439">
        <f>+H49+I49</f>
        <v>5166.8508799311239</v>
      </c>
      <c r="G79" s="439">
        <f>+J49+K49</f>
        <v>5076.1608932494191</v>
      </c>
      <c r="H79" s="439">
        <f>+L49+M49</f>
        <v>4990.6827432442005</v>
      </c>
      <c r="I79" s="441"/>
      <c r="M79" s="490" t="s">
        <v>269</v>
      </c>
      <c r="N79" s="1018" t="s">
        <v>288</v>
      </c>
      <c r="O79" s="1018" t="s">
        <v>290</v>
      </c>
    </row>
    <row r="80" spans="2:15" ht="14">
      <c r="B80" s="24" t="s">
        <v>63</v>
      </c>
      <c r="C80" s="141"/>
      <c r="D80" s="19"/>
      <c r="E80" s="473">
        <f>+F55+G55</f>
        <v>10321.162740994998</v>
      </c>
      <c r="F80" s="473">
        <f>+H55+I55</f>
        <v>13283.252991564999</v>
      </c>
      <c r="G80" s="473">
        <f>+J55+K55</f>
        <v>10508.292828534999</v>
      </c>
      <c r="H80" s="473">
        <f>+L55+M55</f>
        <v>11645.182373379997</v>
      </c>
      <c r="I80" s="441"/>
      <c r="M80" s="491" t="s">
        <v>289</v>
      </c>
      <c r="N80" s="1019"/>
      <c r="O80" s="1019"/>
    </row>
    <row r="81" spans="2:15" ht="14">
      <c r="B81" s="138" t="s">
        <v>71</v>
      </c>
      <c r="C81" s="141"/>
      <c r="D81" s="19"/>
      <c r="E81" s="473">
        <f t="shared" ref="E81:E82" si="12">+F56+G56</f>
        <v>6849.8334018699989</v>
      </c>
      <c r="F81" s="473">
        <f t="shared" ref="F81:F82" si="13">+H56+I56</f>
        <v>6969.7483134899994</v>
      </c>
      <c r="G81" s="473">
        <f t="shared" ref="G81:G82" si="14">+J56+K56</f>
        <v>6068.672335109999</v>
      </c>
      <c r="H81" s="473">
        <f>+L56+M56</f>
        <v>6894.196356729999</v>
      </c>
      <c r="I81" s="441"/>
      <c r="J81" s="26"/>
      <c r="M81" s="11">
        <f>+E81*1000</f>
        <v>6849833.4018699992</v>
      </c>
      <c r="N81" s="375">
        <f>+'Julio-Dic 2013'!D134/2</f>
        <v>2123342.73</v>
      </c>
      <c r="O81" s="375">
        <f>+M81-N81</f>
        <v>4726490.6718699988</v>
      </c>
    </row>
    <row r="82" spans="2:15" ht="14">
      <c r="B82" s="447" t="s">
        <v>64</v>
      </c>
      <c r="C82" s="448"/>
      <c r="D82" s="449"/>
      <c r="E82" s="474">
        <f t="shared" si="12"/>
        <v>3471.3293391249999</v>
      </c>
      <c r="F82" s="474">
        <f t="shared" si="13"/>
        <v>6313.5046780749999</v>
      </c>
      <c r="G82" s="474">
        <f t="shared" si="14"/>
        <v>4439.6204934249999</v>
      </c>
      <c r="H82" s="474">
        <f>+L57+M57</f>
        <v>4750.9860166499993</v>
      </c>
      <c r="I82" s="450"/>
      <c r="M82" s="11">
        <f>+E82*1000</f>
        <v>3471329.3391249999</v>
      </c>
      <c r="N82" s="492">
        <f>+'Julio-Dic 2013'!D134/2</f>
        <v>2123342.73</v>
      </c>
      <c r="O82" s="375">
        <f>+M82-N82</f>
        <v>1347986.609125</v>
      </c>
    </row>
    <row r="83" spans="2:15" ht="14">
      <c r="B83" s="138"/>
      <c r="C83" s="139"/>
      <c r="D83" s="19"/>
      <c r="E83" s="19"/>
      <c r="F83" s="20"/>
      <c r="G83" s="20"/>
      <c r="H83" s="20"/>
      <c r="I83" s="21"/>
      <c r="N83" s="375">
        <f>+N81+N82</f>
        <v>4246685.46</v>
      </c>
      <c r="O83" s="375"/>
    </row>
    <row r="84" spans="2:15" ht="14">
      <c r="B84" s="24" t="s">
        <v>69</v>
      </c>
      <c r="C84" s="139"/>
      <c r="D84" s="19"/>
      <c r="E84" s="451">
        <f>1/(1+$D$11/2)</f>
        <v>0.96697771116375775</v>
      </c>
      <c r="F84" s="452">
        <f>E84/(1+$D$11)</f>
        <v>0.90515558472690982</v>
      </c>
      <c r="G84" s="452">
        <f>F84/(1+$D$11)</f>
        <v>0.84728595406431695</v>
      </c>
      <c r="H84" s="452">
        <f>G84/(1+$D$11)</f>
        <v>0.79311612287214917</v>
      </c>
      <c r="I84" s="453"/>
      <c r="M84" s="1"/>
      <c r="N84" s="1"/>
      <c r="O84" s="1"/>
    </row>
    <row r="85" spans="2:15" ht="14.5" thickBot="1">
      <c r="B85" s="142"/>
      <c r="C85" s="143"/>
      <c r="D85" s="144"/>
      <c r="E85" s="144"/>
      <c r="F85" s="145"/>
      <c r="G85" s="145"/>
      <c r="H85" s="145"/>
      <c r="I85" s="146"/>
      <c r="K85" s="1"/>
      <c r="M85" s="1"/>
      <c r="N85" s="1"/>
      <c r="O85" s="1"/>
    </row>
    <row r="86" spans="2:15" ht="14">
      <c r="B86" s="27" t="s">
        <v>267</v>
      </c>
      <c r="C86" s="147"/>
      <c r="D86" s="28" t="s">
        <v>70</v>
      </c>
      <c r="E86" s="29"/>
      <c r="F86" s="30"/>
      <c r="G86" s="29"/>
      <c r="H86" s="31"/>
      <c r="I86" s="32"/>
      <c r="M86" s="33"/>
      <c r="N86" s="33"/>
      <c r="O86" s="33"/>
    </row>
    <row r="87" spans="2:15" ht="14">
      <c r="B87" s="24" t="s">
        <v>97</v>
      </c>
      <c r="C87" s="139"/>
      <c r="D87" s="454">
        <f>SUM(E87:H87)</f>
        <v>209584.23290073627</v>
      </c>
      <c r="E87" s="34">
        <f>+E$84*E77</f>
        <v>47372.977272235548</v>
      </c>
      <c r="F87" s="34">
        <f>+F$84*F77</f>
        <v>50318.109020553034</v>
      </c>
      <c r="G87" s="34">
        <f t="shared" ref="G87:I87" si="15">+G$84*G77</f>
        <v>52779.664119681627</v>
      </c>
      <c r="H87" s="34">
        <f t="shared" si="15"/>
        <v>59113.482488266047</v>
      </c>
      <c r="I87" s="35">
        <f t="shared" si="15"/>
        <v>0</v>
      </c>
      <c r="M87" s="36"/>
      <c r="N87" s="36"/>
      <c r="O87" s="36"/>
    </row>
    <row r="88" spans="2:15" ht="14.5">
      <c r="B88" s="148" t="s">
        <v>108</v>
      </c>
      <c r="C88" s="139"/>
      <c r="D88" s="455">
        <f t="shared" ref="D88:D91" si="16">SUM(E88:H88)</f>
        <v>179246.913861443</v>
      </c>
      <c r="E88" s="37">
        <f>+E87*[21]ACTIVOS!$G$172/[21]ACTIVOS!$G$174</f>
        <v>40515.738512153468</v>
      </c>
      <c r="F88" s="37">
        <f>+F87*[21]ACTIVOS!$G$172/[21]ACTIVOS!$G$174</f>
        <v>43034.562421255898</v>
      </c>
      <c r="G88" s="37">
        <f>+G87*[21]ACTIVOS!$G$172/[21]ACTIVOS!$G$174</f>
        <v>45139.807404201121</v>
      </c>
      <c r="H88" s="37">
        <f>+H87*[21]ACTIVOS!$G$172/[21]ACTIVOS!$G$174</f>
        <v>50556.805523832518</v>
      </c>
      <c r="I88" s="35"/>
      <c r="M88" s="36"/>
      <c r="N88" s="36"/>
      <c r="O88" s="36"/>
    </row>
    <row r="89" spans="2:15" ht="14.5">
      <c r="B89" s="148" t="s">
        <v>109</v>
      </c>
      <c r="C89" s="139"/>
      <c r="D89" s="455">
        <f t="shared" si="16"/>
        <v>30337.319039293267</v>
      </c>
      <c r="E89" s="37">
        <f>+E87*[21]ACTIVOS!$G$173/[21]ACTIVOS!$G$174</f>
        <v>6857.2387600820803</v>
      </c>
      <c r="F89" s="37">
        <f>+F87*[21]ACTIVOS!$G$173/[21]ACTIVOS!$G$174</f>
        <v>7283.5465992971422</v>
      </c>
      <c r="G89" s="37">
        <f>+G87*[21]ACTIVOS!$G$173/[21]ACTIVOS!$G$174</f>
        <v>7639.8567154805087</v>
      </c>
      <c r="H89" s="37">
        <f>+H87*[21]ACTIVOS!$G$173/[21]ACTIVOS!$G$174</f>
        <v>8556.6769644335345</v>
      </c>
      <c r="I89" s="35"/>
      <c r="K89" s="456"/>
      <c r="M89" s="36"/>
      <c r="N89" s="36"/>
      <c r="O89" s="36"/>
    </row>
    <row r="90" spans="2:15" ht="13.5" customHeight="1">
      <c r="B90" s="25" t="s">
        <v>99</v>
      </c>
      <c r="C90" s="139"/>
      <c r="D90" s="457"/>
      <c r="E90" s="34"/>
      <c r="F90" s="34"/>
      <c r="G90" s="34"/>
      <c r="H90" s="34"/>
      <c r="I90" s="35"/>
      <c r="M90" s="36"/>
      <c r="N90" s="36"/>
      <c r="O90" s="36"/>
    </row>
    <row r="91" spans="2:15" ht="14">
      <c r="B91" s="148" t="s">
        <v>110</v>
      </c>
      <c r="C91" s="139"/>
      <c r="D91" s="457">
        <f t="shared" si="16"/>
        <v>15122.002549286444</v>
      </c>
      <c r="E91" s="34">
        <f>+E78*E84</f>
        <v>0</v>
      </c>
      <c r="F91" s="34">
        <f t="shared" ref="F91:H91" si="17">+F78*F84</f>
        <v>0</v>
      </c>
      <c r="G91" s="34">
        <f t="shared" si="17"/>
        <v>0</v>
      </c>
      <c r="H91" s="34">
        <f t="shared" si="17"/>
        <v>15122.002549286444</v>
      </c>
      <c r="I91" s="35"/>
      <c r="K91" s="456"/>
      <c r="M91" s="36"/>
      <c r="N91" s="36"/>
      <c r="O91" s="36"/>
    </row>
    <row r="92" spans="2:15" ht="14">
      <c r="B92" s="24" t="s">
        <v>62</v>
      </c>
      <c r="C92" s="139"/>
      <c r="D92" s="457">
        <f>SUM(E92:H92)</f>
        <v>16645.686922485176</v>
      </c>
      <c r="E92" s="38">
        <f>+E$84*E79</f>
        <v>3709.7322198367797</v>
      </c>
      <c r="F92" s="38">
        <f>+F$84*F79</f>
        <v>4676.8039294208047</v>
      </c>
      <c r="G92" s="38">
        <f>+G$84*G79</f>
        <v>4300.9598254208095</v>
      </c>
      <c r="H92" s="38">
        <f>+H$84*H79</f>
        <v>3958.1909478067819</v>
      </c>
      <c r="I92" s="35">
        <f>+I$84*I79</f>
        <v>0</v>
      </c>
      <c r="K92" s="1"/>
      <c r="M92" s="39"/>
      <c r="N92" s="39"/>
      <c r="O92" s="39"/>
    </row>
    <row r="93" spans="2:15" ht="14">
      <c r="B93" s="24" t="s">
        <v>63</v>
      </c>
      <c r="C93" s="139"/>
      <c r="D93" s="457">
        <f>SUM(E93:H93)</f>
        <v>40143.255761418222</v>
      </c>
      <c r="E93" s="38">
        <f>+E94+E95</f>
        <v>9980.3343238359994</v>
      </c>
      <c r="F93" s="38">
        <f>+F94+F95</f>
        <v>12023.410628655491</v>
      </c>
      <c r="G93" s="38">
        <f>+G94+G95</f>
        <v>8903.5289148124957</v>
      </c>
      <c r="H93" s="38">
        <f>+H94+H95</f>
        <v>9235.9818941142366</v>
      </c>
      <c r="I93" s="35">
        <f>+I94+I95</f>
        <v>0</v>
      </c>
      <c r="M93" s="149"/>
      <c r="N93" s="149"/>
      <c r="O93" s="149"/>
    </row>
    <row r="94" spans="2:15" ht="14">
      <c r="B94" s="148" t="s">
        <v>71</v>
      </c>
      <c r="C94" s="139"/>
      <c r="D94" s="439">
        <f>SUM(E94:H94)</f>
        <v>23542.141949016135</v>
      </c>
      <c r="E94" s="38">
        <f t="shared" ref="E94:I95" si="18">+E$84*E81</f>
        <v>6623.6362247933075</v>
      </c>
      <c r="F94" s="38">
        <f t="shared" si="18"/>
        <v>6308.7066100964339</v>
      </c>
      <c r="G94" s="38">
        <f t="shared" si="18"/>
        <v>5141.9008293574016</v>
      </c>
      <c r="H94" s="38">
        <f t="shared" si="18"/>
        <v>5467.8982847689931</v>
      </c>
      <c r="I94" s="35">
        <f t="shared" si="18"/>
        <v>0</v>
      </c>
      <c r="K94" s="1"/>
      <c r="M94" s="150"/>
      <c r="N94" s="150"/>
      <c r="O94" s="150"/>
    </row>
    <row r="95" spans="2:15" ht="14">
      <c r="B95" s="148" t="s">
        <v>64</v>
      </c>
      <c r="C95" s="139"/>
      <c r="D95" s="439">
        <f>SUM(E95:H95)</f>
        <v>16601.113812402087</v>
      </c>
      <c r="E95" s="38">
        <f t="shared" si="18"/>
        <v>3356.6980990426923</v>
      </c>
      <c r="F95" s="38">
        <f t="shared" si="18"/>
        <v>5714.7040185590567</v>
      </c>
      <c r="G95" s="38">
        <f t="shared" si="18"/>
        <v>3761.6280854550946</v>
      </c>
      <c r="H95" s="38">
        <f t="shared" si="18"/>
        <v>3768.0836093452435</v>
      </c>
      <c r="I95" s="35">
        <f t="shared" si="18"/>
        <v>0</v>
      </c>
    </row>
    <row r="96" spans="2:15" ht="14.5" thickBot="1">
      <c r="B96" s="40" t="s">
        <v>2</v>
      </c>
      <c r="C96" s="143"/>
      <c r="D96" s="458">
        <f>D87+D91+D92+D93</f>
        <v>281495.17813392612</v>
      </c>
      <c r="E96" s="41">
        <f>E87+E91+E92+E93</f>
        <v>61063.043815908328</v>
      </c>
      <c r="F96" s="41">
        <f t="shared" ref="F96:H96" si="19">F87+F91+F92+F93</f>
        <v>67018.323578629337</v>
      </c>
      <c r="G96" s="41">
        <f t="shared" si="19"/>
        <v>65984.152859914931</v>
      </c>
      <c r="H96" s="41">
        <f t="shared" si="19"/>
        <v>87429.657879473496</v>
      </c>
      <c r="I96" s="42">
        <f>I87+I92+I93</f>
        <v>0</v>
      </c>
      <c r="K96" s="11"/>
      <c r="M96" s="43"/>
      <c r="N96" s="43"/>
      <c r="O96" s="43"/>
    </row>
    <row r="97" spans="1:15" ht="13">
      <c r="B97" s="4"/>
      <c r="C97" s="5"/>
      <c r="D97" s="44"/>
      <c r="E97" s="45"/>
      <c r="F97" s="5"/>
      <c r="G97" s="45"/>
      <c r="H97" s="45"/>
      <c r="I97" s="45"/>
      <c r="K97" s="1"/>
    </row>
    <row r="98" spans="1:15" ht="13">
      <c r="B98" s="5" t="s">
        <v>111</v>
      </c>
      <c r="C98" s="5"/>
      <c r="D98" s="5"/>
      <c r="E98" s="5"/>
      <c r="F98" s="5"/>
      <c r="G98" s="5"/>
      <c r="H98" s="5"/>
      <c r="I98" s="44"/>
      <c r="K98" s="394"/>
    </row>
    <row r="99" spans="1:15" ht="13">
      <c r="B99" s="113" t="s">
        <v>112</v>
      </c>
      <c r="C99" s="5"/>
      <c r="D99" s="5"/>
      <c r="E99" s="44"/>
      <c r="F99" s="44"/>
      <c r="G99" s="44"/>
      <c r="H99" s="44"/>
      <c r="I99" s="44"/>
      <c r="K99" s="394"/>
    </row>
    <row r="100" spans="1:15" ht="13.5" thickBot="1">
      <c r="D100" s="459"/>
      <c r="E100" s="1"/>
      <c r="F100" t="s">
        <v>113</v>
      </c>
    </row>
    <row r="101" spans="1:15" ht="13">
      <c r="F101" s="46" t="s">
        <v>114</v>
      </c>
      <c r="G101" s="47" t="s">
        <v>115</v>
      </c>
      <c r="H101" s="47" t="s">
        <v>116</v>
      </c>
      <c r="I101" s="48" t="s">
        <v>117</v>
      </c>
    </row>
    <row r="102" spans="1:15" ht="21" customHeight="1" thickBot="1">
      <c r="B102" s="1020" t="s">
        <v>118</v>
      </c>
      <c r="C102" s="1021"/>
      <c r="F102" s="151">
        <f>+E84</f>
        <v>0.96697771116375775</v>
      </c>
      <c r="G102" s="152">
        <f>+F84</f>
        <v>0.90515558472690982</v>
      </c>
      <c r="H102" s="152">
        <f>+G84</f>
        <v>0.84728595406431695</v>
      </c>
      <c r="I102" s="153">
        <f>+H84</f>
        <v>0.79311612287214917</v>
      </c>
      <c r="M102" s="1017"/>
      <c r="N102" s="1017"/>
      <c r="O102" s="1017"/>
    </row>
    <row r="103" spans="1:15" ht="18.75" customHeight="1">
      <c r="B103" s="49" t="s">
        <v>119</v>
      </c>
      <c r="C103" s="50">
        <f>+D92</f>
        <v>16645.686922485176</v>
      </c>
      <c r="D103" s="154"/>
      <c r="E103" s="154"/>
      <c r="F103" s="154"/>
      <c r="G103" s="154"/>
      <c r="M103" s="394"/>
      <c r="N103" s="394"/>
      <c r="O103" s="394"/>
    </row>
    <row r="104" spans="1:15" ht="18.75" customHeight="1">
      <c r="B104" s="49" t="s">
        <v>120</v>
      </c>
      <c r="C104" s="50">
        <f>+G108*F102+H108*G102+I108*H102+J108*I102</f>
        <v>31513.967950703587</v>
      </c>
      <c r="D104" s="154"/>
      <c r="E104" s="154"/>
      <c r="F104" s="154"/>
      <c r="G104" s="155">
        <v>2013</v>
      </c>
      <c r="H104" s="51">
        <v>2014</v>
      </c>
      <c r="I104" s="155">
        <v>2015</v>
      </c>
      <c r="J104" s="51">
        <v>2016</v>
      </c>
      <c r="K104" s="155">
        <v>2017</v>
      </c>
      <c r="M104" s="394"/>
      <c r="N104" s="394"/>
      <c r="O104" s="394"/>
    </row>
    <row r="105" spans="1:15" ht="21" customHeight="1">
      <c r="B105" s="52" t="s">
        <v>121</v>
      </c>
      <c r="C105" s="53">
        <f>+C103/C104</f>
        <v>0.52820028720355228</v>
      </c>
      <c r="D105" s="154"/>
      <c r="E105" s="154"/>
      <c r="F105" s="51" t="s">
        <v>122</v>
      </c>
      <c r="G105" s="54"/>
      <c r="H105" s="54"/>
      <c r="I105" s="54"/>
      <c r="J105" s="54"/>
      <c r="K105" s="54"/>
      <c r="M105" s="394"/>
      <c r="N105" s="394"/>
      <c r="O105" s="394"/>
    </row>
    <row r="106" spans="1:15" ht="13">
      <c r="D106" s="154"/>
      <c r="E106" s="154"/>
      <c r="M106" s="394"/>
      <c r="N106" s="394"/>
      <c r="O106" s="394"/>
    </row>
    <row r="107" spans="1:15" ht="13">
      <c r="G107" s="156" t="s">
        <v>68</v>
      </c>
      <c r="H107" s="51" t="s">
        <v>104</v>
      </c>
      <c r="I107" s="51" t="s">
        <v>105</v>
      </c>
      <c r="J107" s="51" t="s">
        <v>106</v>
      </c>
      <c r="K107" s="36"/>
      <c r="L107" s="36"/>
      <c r="M107" s="36"/>
      <c r="N107" s="36"/>
      <c r="O107" s="36"/>
    </row>
    <row r="108" spans="1:15" ht="13">
      <c r="F108" s="51" t="s">
        <v>122</v>
      </c>
      <c r="G108" s="54">
        <f>+F50+F51+G50+G51+(D24/2+E31)*$D$11+(E24/2+F30)*$D$11+(D24/2+E31)*3%+(E24/2+F30)*3%</f>
        <v>7969.7178059450098</v>
      </c>
      <c r="H108" s="54">
        <f>+H50+H51+I50+I51+(E24/2+F31)*$D$11+(F24/2+G30)*$D$11+(E24/2+F31)*3%+(F24/2+G30)*3%</f>
        <v>9352.5394559450069</v>
      </c>
      <c r="I108" s="54">
        <f>+J50+J51+K50+K51+(F24/2+G31)*$D$11+(G24/2+H30)*$D$11+(F24/2+G31)*3%+(G24/2+H30)*3%</f>
        <v>9352.5394559450069</v>
      </c>
      <c r="J108" s="54">
        <f>+L50+L51+M50+M51+(G24/2+H31)*$D$11+(H24/2+I30)*$D$11+(G24/2+H31)*3%+(H24/2+I30)*3%</f>
        <v>9352.5394559450069</v>
      </c>
      <c r="K108" s="36"/>
      <c r="L108" s="36"/>
      <c r="M108" s="36"/>
      <c r="N108" s="36"/>
      <c r="O108" s="36"/>
    </row>
    <row r="109" spans="1:15">
      <c r="A109" s="460"/>
      <c r="B109" s="460"/>
      <c r="C109" s="460"/>
      <c r="D109" s="460"/>
      <c r="E109" s="460"/>
      <c r="F109" s="460"/>
      <c r="G109" s="460"/>
      <c r="H109" s="460"/>
      <c r="I109" s="460"/>
      <c r="J109" s="461"/>
      <c r="K109" s="461"/>
      <c r="L109" s="461"/>
      <c r="M109" s="461"/>
      <c r="N109" s="461"/>
      <c r="O109" s="461"/>
    </row>
    <row r="110" spans="1:15">
      <c r="E110" s="11"/>
      <c r="J110" s="36"/>
      <c r="K110" s="36"/>
      <c r="L110" s="36"/>
      <c r="M110" s="36"/>
      <c r="N110" s="36"/>
      <c r="O110" s="36"/>
    </row>
    <row r="111" spans="1:15">
      <c r="B111" s="133" t="s">
        <v>247</v>
      </c>
      <c r="C111">
        <f>73-58</f>
        <v>15</v>
      </c>
      <c r="J111" s="36"/>
      <c r="K111" s="36"/>
      <c r="L111" s="36"/>
      <c r="M111" s="36"/>
      <c r="N111" s="36"/>
      <c r="O111" s="36"/>
    </row>
    <row r="112" spans="1:15">
      <c r="D112" s="11"/>
      <c r="I112" s="43"/>
      <c r="J112" s="36"/>
      <c r="K112" s="36"/>
      <c r="L112" s="36"/>
      <c r="M112" s="36"/>
      <c r="N112" s="36"/>
      <c r="O112" s="36"/>
    </row>
    <row r="113" spans="2:9" ht="13" thickBot="1"/>
    <row r="114" spans="2:9" ht="13">
      <c r="B114" s="6" t="s">
        <v>37</v>
      </c>
      <c r="C114" s="55" t="s">
        <v>38</v>
      </c>
      <c r="D114" s="55">
        <v>2008</v>
      </c>
      <c r="E114" s="7">
        <v>2009</v>
      </c>
      <c r="F114" s="55">
        <v>2010</v>
      </c>
      <c r="G114" s="55">
        <v>2011</v>
      </c>
      <c r="H114" s="55">
        <v>2012</v>
      </c>
      <c r="I114" s="56">
        <v>2013</v>
      </c>
    </row>
    <row r="115" spans="2:9">
      <c r="B115" s="57" t="s">
        <v>39</v>
      </c>
      <c r="C115" s="58" t="s">
        <v>40</v>
      </c>
      <c r="D115" s="157"/>
      <c r="E115" s="157">
        <v>1.4195243750092958E-2</v>
      </c>
      <c r="F115" s="157">
        <v>1.4195243750092958E-2</v>
      </c>
      <c r="G115" s="157">
        <v>1.4195243750092958E-2</v>
      </c>
      <c r="H115" s="157">
        <v>1.4195243750092958E-2</v>
      </c>
      <c r="I115" s="158">
        <v>1.4195243750092958E-2</v>
      </c>
    </row>
    <row r="116" spans="2:9">
      <c r="B116" s="159" t="s">
        <v>41</v>
      </c>
      <c r="C116" s="59" t="s">
        <v>40</v>
      </c>
      <c r="D116" s="160"/>
      <c r="E116" s="160">
        <v>7.6435927885115966E-3</v>
      </c>
      <c r="F116" s="160">
        <v>7.6435927885115966E-3</v>
      </c>
      <c r="G116" s="160">
        <v>7.6435927885115966E-3</v>
      </c>
      <c r="H116" s="160">
        <v>7.6435927885115966E-3</v>
      </c>
      <c r="I116" s="161">
        <v>7.6435927885115966E-3</v>
      </c>
    </row>
    <row r="117" spans="2:9">
      <c r="B117" s="60" t="s">
        <v>42</v>
      </c>
      <c r="C117" s="61" t="s">
        <v>40</v>
      </c>
      <c r="D117" s="162">
        <v>0.1071</v>
      </c>
      <c r="E117" s="163">
        <v>2.1838836538604554E-2</v>
      </c>
      <c r="F117" s="163">
        <v>2.1838836538604554E-2</v>
      </c>
      <c r="G117" s="163">
        <v>2.1838836538604554E-2</v>
      </c>
      <c r="H117" s="163">
        <v>2.1838836538604554E-2</v>
      </c>
      <c r="I117" s="164">
        <v>2.1838836538604554E-2</v>
      </c>
    </row>
    <row r="118" spans="2:9" ht="13">
      <c r="B118" s="62" t="s">
        <v>43</v>
      </c>
      <c r="C118" s="59"/>
      <c r="D118" s="59"/>
      <c r="E118" s="63"/>
      <c r="F118" s="63"/>
      <c r="G118" s="63"/>
      <c r="H118" s="64"/>
      <c r="I118" s="165"/>
    </row>
    <row r="119" spans="2:9">
      <c r="B119" s="65" t="s">
        <v>44</v>
      </c>
      <c r="C119" s="59" t="s">
        <v>45</v>
      </c>
      <c r="D119" s="399">
        <v>287823.22474260518</v>
      </c>
      <c r="E119" s="399">
        <v>317368.79106403381</v>
      </c>
      <c r="F119" s="399">
        <v>324627.4130175598</v>
      </c>
      <c r="G119" s="399">
        <v>361039.66187036497</v>
      </c>
      <c r="H119" s="399">
        <v>387471.66187036497</v>
      </c>
      <c r="I119" s="462">
        <v>388263.66187036497</v>
      </c>
    </row>
    <row r="120" spans="2:9">
      <c r="B120" s="65" t="s">
        <v>46</v>
      </c>
      <c r="C120" s="59" t="s">
        <v>45</v>
      </c>
      <c r="D120" s="399">
        <v>23032.303161225453</v>
      </c>
      <c r="E120" s="399">
        <v>23032.303161225453</v>
      </c>
      <c r="F120" s="399">
        <v>23032.303161225453</v>
      </c>
      <c r="G120" s="399">
        <v>36259.303161225456</v>
      </c>
      <c r="H120" s="399">
        <v>43187.303161225456</v>
      </c>
      <c r="I120" s="462">
        <v>43187.303161225456</v>
      </c>
    </row>
    <row r="121" spans="2:9">
      <c r="B121" s="65" t="s">
        <v>47</v>
      </c>
      <c r="C121" s="59" t="s">
        <v>45</v>
      </c>
      <c r="D121" s="399">
        <v>2000.9</v>
      </c>
      <c r="E121" s="399">
        <v>2000.9</v>
      </c>
      <c r="F121" s="399">
        <v>2000.9</v>
      </c>
      <c r="G121" s="399">
        <v>2000.9</v>
      </c>
      <c r="H121" s="399">
        <v>2000.9</v>
      </c>
      <c r="I121" s="462">
        <v>2000.9</v>
      </c>
    </row>
    <row r="122" spans="2:9">
      <c r="B122" s="65" t="s">
        <v>48</v>
      </c>
      <c r="C122" s="59" t="s">
        <v>45</v>
      </c>
      <c r="D122" s="399">
        <v>173831.96291572356</v>
      </c>
      <c r="E122" s="399">
        <v>194289.63456082254</v>
      </c>
      <c r="F122" s="399">
        <v>191048.37460614389</v>
      </c>
      <c r="G122" s="399">
        <v>217250.31563437084</v>
      </c>
      <c r="H122" s="399">
        <v>231739.0052868487</v>
      </c>
      <c r="I122" s="462">
        <v>219971.35993932659</v>
      </c>
    </row>
    <row r="123" spans="2:9">
      <c r="B123" s="65" t="s">
        <v>49</v>
      </c>
      <c r="C123" s="59" t="s">
        <v>45</v>
      </c>
      <c r="D123" s="399">
        <v>11189.651451084055</v>
      </c>
      <c r="E123" s="399">
        <v>10597.665134563566</v>
      </c>
      <c r="F123" s="399">
        <v>10005.678818043076</v>
      </c>
      <c r="G123" s="399">
        <v>22427.927729634444</v>
      </c>
      <c r="H123" s="399">
        <v>28268.215585062309</v>
      </c>
      <c r="I123" s="462">
        <v>27071.579268541824</v>
      </c>
    </row>
    <row r="124" spans="2:9">
      <c r="B124" s="65" t="s">
        <v>50</v>
      </c>
      <c r="C124" s="59" t="s">
        <v>45</v>
      </c>
      <c r="D124" s="399">
        <v>549.3154999999997</v>
      </c>
      <c r="E124" s="399">
        <v>479.28399999999965</v>
      </c>
      <c r="F124" s="399">
        <v>409.2524999999996</v>
      </c>
      <c r="G124" s="399">
        <v>339.22099999999955</v>
      </c>
      <c r="H124" s="399">
        <v>269.1894999999995</v>
      </c>
      <c r="I124" s="462">
        <v>199.15799999999945</v>
      </c>
    </row>
    <row r="125" spans="2:9" ht="13">
      <c r="B125" s="66" t="s">
        <v>51</v>
      </c>
      <c r="C125" s="59"/>
      <c r="D125" s="59"/>
      <c r="E125" s="63"/>
      <c r="F125" s="63"/>
      <c r="G125" s="63"/>
      <c r="H125" s="63"/>
      <c r="I125" s="165"/>
    </row>
    <row r="126" spans="2:9">
      <c r="B126" s="65" t="s">
        <v>52</v>
      </c>
      <c r="C126" s="59" t="s">
        <v>45</v>
      </c>
      <c r="D126" s="399">
        <v>424886.69183745852</v>
      </c>
      <c r="E126" s="399">
        <v>456675.17482555378</v>
      </c>
      <c r="F126" s="399">
        <v>469585.88011241314</v>
      </c>
      <c r="G126" s="399">
        <v>510048.12896521832</v>
      </c>
      <c r="H126" s="399">
        <v>536480.12896521832</v>
      </c>
      <c r="I126" s="462">
        <v>537272.12896521832</v>
      </c>
    </row>
    <row r="127" spans="2:9">
      <c r="B127" s="65" t="s">
        <v>53</v>
      </c>
      <c r="C127" s="59" t="s">
        <v>45</v>
      </c>
      <c r="D127" s="399">
        <v>31847.854297104881</v>
      </c>
      <c r="E127" s="399">
        <v>31847.854297104881</v>
      </c>
      <c r="F127" s="399">
        <v>31847.854297104881</v>
      </c>
      <c r="G127" s="399">
        <v>45074.854297104881</v>
      </c>
      <c r="H127" s="399">
        <v>52002.854297104881</v>
      </c>
      <c r="I127" s="462">
        <v>52002.854297104881</v>
      </c>
    </row>
    <row r="128" spans="2:9" ht="13">
      <c r="B128" s="66" t="s">
        <v>54</v>
      </c>
      <c r="C128" s="59"/>
      <c r="D128" s="59"/>
      <c r="E128" s="63"/>
      <c r="F128" s="63"/>
      <c r="G128" s="63"/>
      <c r="H128" s="63"/>
      <c r="I128" s="165"/>
    </row>
    <row r="129" spans="2:15">
      <c r="B129" s="65" t="s">
        <v>52</v>
      </c>
      <c r="C129" s="59" t="s">
        <v>45</v>
      </c>
      <c r="D129" s="463" t="s">
        <v>55</v>
      </c>
      <c r="E129" s="399">
        <v>17520.674741071463</v>
      </c>
      <c r="F129" s="399">
        <v>609.58333333333337</v>
      </c>
      <c r="G129" s="399">
        <v>19154.5</v>
      </c>
      <c r="H129" s="399">
        <v>13267.000000000002</v>
      </c>
      <c r="I129" s="462">
        <v>0</v>
      </c>
    </row>
    <row r="130" spans="2:15" ht="13" thickBot="1">
      <c r="B130" s="67" t="s">
        <v>53</v>
      </c>
      <c r="C130" s="68" t="s">
        <v>45</v>
      </c>
      <c r="D130" s="464" t="s">
        <v>55</v>
      </c>
      <c r="E130" s="465">
        <v>0</v>
      </c>
      <c r="F130" s="465">
        <v>0</v>
      </c>
      <c r="G130" s="465">
        <v>8278</v>
      </c>
      <c r="H130" s="465">
        <v>3848.5</v>
      </c>
      <c r="I130" s="466">
        <v>0</v>
      </c>
    </row>
    <row r="131" spans="2:15" ht="13" thickBot="1"/>
    <row r="132" spans="2:15" ht="13">
      <c r="B132" s="69" t="s">
        <v>56</v>
      </c>
      <c r="C132" s="70"/>
      <c r="D132" s="71">
        <v>2008</v>
      </c>
      <c r="E132" s="72">
        <v>2009</v>
      </c>
      <c r="F132" s="71">
        <v>2010</v>
      </c>
      <c r="G132" s="71">
        <v>2011</v>
      </c>
      <c r="H132" s="71">
        <v>2012</v>
      </c>
      <c r="I132" s="73">
        <v>2013</v>
      </c>
      <c r="J132" s="36"/>
      <c r="K132" s="36"/>
      <c r="L132" s="36"/>
      <c r="M132" s="36"/>
      <c r="N132" s="36"/>
      <c r="O132" s="36"/>
    </row>
    <row r="133" spans="2:15" ht="13">
      <c r="B133" s="74"/>
      <c r="C133" s="75"/>
      <c r="D133" s="75"/>
      <c r="E133" s="76"/>
      <c r="F133" s="77"/>
      <c r="G133" s="77"/>
      <c r="H133" s="77"/>
      <c r="I133" s="78"/>
      <c r="K133" s="1"/>
      <c r="M133" s="166"/>
      <c r="N133" s="166"/>
      <c r="O133" s="166"/>
    </row>
    <row r="134" spans="2:15" ht="13">
      <c r="B134" s="14" t="s">
        <v>57</v>
      </c>
      <c r="C134" s="79"/>
      <c r="D134" s="79"/>
      <c r="E134" s="407">
        <v>39243.424331555376</v>
      </c>
      <c r="F134" s="407">
        <v>41360.155229695963</v>
      </c>
      <c r="G134" s="407">
        <v>43396.556965986703</v>
      </c>
      <c r="H134" s="407">
        <v>48060.308411613427</v>
      </c>
      <c r="I134" s="408">
        <v>49094.994656424533</v>
      </c>
    </row>
    <row r="135" spans="2:15">
      <c r="B135" s="159" t="s">
        <v>58</v>
      </c>
      <c r="C135" s="59" t="s">
        <v>45</v>
      </c>
      <c r="D135" s="80"/>
      <c r="E135" s="467">
        <v>6280.0804054189621</v>
      </c>
      <c r="F135" s="467">
        <v>6491.2686052677118</v>
      </c>
      <c r="G135" s="467">
        <v>6937.788826208789</v>
      </c>
      <c r="H135" s="467">
        <v>7428.5858137726054</v>
      </c>
      <c r="I135" s="468">
        <v>7615.4661977425794</v>
      </c>
      <c r="M135" s="43"/>
      <c r="N135" s="43"/>
      <c r="O135" s="43"/>
    </row>
    <row r="136" spans="2:15" ht="13">
      <c r="B136" s="159" t="s">
        <v>59</v>
      </c>
      <c r="C136" s="59" t="s">
        <v>45</v>
      </c>
      <c r="D136" s="80"/>
      <c r="E136" s="467">
        <v>3381.5817567640584</v>
      </c>
      <c r="F136" s="467">
        <v>3495.2984797595391</v>
      </c>
      <c r="G136" s="467">
        <v>3735.7324448816576</v>
      </c>
      <c r="H136" s="467">
        <v>4000.007745877559</v>
      </c>
      <c r="I136" s="468">
        <v>4100.6356449383138</v>
      </c>
      <c r="K136" s="1"/>
    </row>
    <row r="137" spans="2:15" ht="13">
      <c r="B137" s="159" t="s">
        <v>60</v>
      </c>
      <c r="C137" s="59" t="s">
        <v>45</v>
      </c>
      <c r="D137" s="80"/>
      <c r="E137" s="399">
        <v>9087.8946763296135</v>
      </c>
      <c r="F137" s="399">
        <v>10499.881908204616</v>
      </c>
      <c r="G137" s="399">
        <v>10210.307824578251</v>
      </c>
      <c r="H137" s="399">
        <v>11943.310347522145</v>
      </c>
      <c r="I137" s="462">
        <v>12559.645347522148</v>
      </c>
      <c r="K137" s="394"/>
    </row>
    <row r="138" spans="2:15" ht="13">
      <c r="B138" s="159" t="s">
        <v>61</v>
      </c>
      <c r="C138" s="59" t="s">
        <v>45</v>
      </c>
      <c r="D138" s="80"/>
      <c r="E138" s="467">
        <v>20493.867493042748</v>
      </c>
      <c r="F138" s="467">
        <v>20873.706236464095</v>
      </c>
      <c r="G138" s="467">
        <v>22512.727870318009</v>
      </c>
      <c r="H138" s="467">
        <v>24688.404504441118</v>
      </c>
      <c r="I138" s="468">
        <v>24819.247466221495</v>
      </c>
      <c r="K138" s="394"/>
    </row>
    <row r="139" spans="2:15" ht="13">
      <c r="B139" s="102"/>
      <c r="C139" s="80"/>
      <c r="D139" s="80"/>
      <c r="E139" s="167"/>
      <c r="F139" s="167"/>
      <c r="G139" s="167"/>
      <c r="H139" s="167"/>
      <c r="I139" s="168"/>
      <c r="K139" s="394"/>
    </row>
    <row r="140" spans="2:15" ht="13">
      <c r="B140" s="14" t="s">
        <v>62</v>
      </c>
      <c r="C140" s="79"/>
      <c r="D140" s="79"/>
      <c r="E140" s="407">
        <v>2485.9180710313603</v>
      </c>
      <c r="F140" s="407">
        <v>2422.5163365320159</v>
      </c>
      <c r="G140" s="407">
        <v>3639.2350627873798</v>
      </c>
      <c r="H140" s="407">
        <v>4970.3466918306931</v>
      </c>
      <c r="I140" s="408">
        <v>5359.8440402160068</v>
      </c>
      <c r="K140" s="394"/>
    </row>
    <row r="141" spans="2:15">
      <c r="B141" s="159" t="s">
        <v>58</v>
      </c>
      <c r="C141" s="59" t="s">
        <v>45</v>
      </c>
      <c r="D141" s="80"/>
      <c r="E141" s="399">
        <v>452.08805466484921</v>
      </c>
      <c r="F141" s="399">
        <v>452.08805466484921</v>
      </c>
      <c r="G141" s="399">
        <v>569.59628242811868</v>
      </c>
      <c r="H141" s="399">
        <v>694.4789393195615</v>
      </c>
      <c r="I141" s="462">
        <v>738.19319244797282</v>
      </c>
    </row>
    <row r="142" spans="2:15">
      <c r="B142" s="159" t="s">
        <v>59</v>
      </c>
      <c r="C142" s="59" t="s">
        <v>45</v>
      </c>
      <c r="D142" s="80"/>
      <c r="E142" s="399">
        <v>243.43202943491892</v>
      </c>
      <c r="F142" s="399">
        <v>243.43202943491892</v>
      </c>
      <c r="G142" s="399">
        <v>306.70569053821794</v>
      </c>
      <c r="H142" s="399">
        <v>373.95019809514872</v>
      </c>
      <c r="I142" s="462">
        <v>397.48864208737018</v>
      </c>
    </row>
    <row r="143" spans="2:15">
      <c r="B143" s="159" t="s">
        <v>60</v>
      </c>
      <c r="C143" s="59" t="s">
        <v>45</v>
      </c>
      <c r="D143" s="80"/>
      <c r="E143" s="399">
        <v>591.98631652049005</v>
      </c>
      <c r="F143" s="399">
        <v>591.98631652049005</v>
      </c>
      <c r="G143" s="399">
        <v>804.75108840862993</v>
      </c>
      <c r="H143" s="399">
        <v>1087.7121445721336</v>
      </c>
      <c r="I143" s="462">
        <v>1196.63631652049</v>
      </c>
    </row>
    <row r="144" spans="2:15">
      <c r="B144" s="159" t="s">
        <v>61</v>
      </c>
      <c r="C144" s="59" t="s">
        <v>45</v>
      </c>
      <c r="D144" s="80"/>
      <c r="E144" s="399">
        <v>1198.4116704111023</v>
      </c>
      <c r="F144" s="399">
        <v>1135.0099359117578</v>
      </c>
      <c r="G144" s="399">
        <v>1958.1820014124132</v>
      </c>
      <c r="H144" s="399">
        <v>2814.2054098438489</v>
      </c>
      <c r="I144" s="462">
        <v>3027.5258891601734</v>
      </c>
    </row>
    <row r="145" spans="2:9">
      <c r="B145" s="159"/>
      <c r="C145" s="80"/>
      <c r="D145" s="80"/>
      <c r="E145" s="399"/>
      <c r="F145" s="399"/>
      <c r="G145" s="399"/>
      <c r="H145" s="399"/>
      <c r="I145" s="462"/>
    </row>
    <row r="146" spans="2:9" ht="13">
      <c r="B146" s="81" t="s">
        <v>63</v>
      </c>
      <c r="C146" s="79"/>
      <c r="D146" s="79"/>
      <c r="E146" s="407">
        <v>5403.5136870373417</v>
      </c>
      <c r="F146" s="407">
        <v>5587.413313387342</v>
      </c>
      <c r="G146" s="407">
        <v>5681.212939737341</v>
      </c>
      <c r="H146" s="407">
        <v>5758.0125660873418</v>
      </c>
      <c r="I146" s="408">
        <v>5888.2121924373414</v>
      </c>
    </row>
    <row r="147" spans="2:9">
      <c r="B147" s="102" t="s">
        <v>67</v>
      </c>
      <c r="C147" s="59" t="s">
        <v>45</v>
      </c>
      <c r="D147" s="469"/>
      <c r="E147" s="469">
        <v>2697.6504969873417</v>
      </c>
      <c r="F147" s="469">
        <v>2697.6504969873417</v>
      </c>
      <c r="G147" s="469">
        <v>2697.6504969873417</v>
      </c>
      <c r="H147" s="469">
        <v>2697.6504969873417</v>
      </c>
      <c r="I147" s="470">
        <v>2697.6504969873417</v>
      </c>
    </row>
    <row r="148" spans="2:9">
      <c r="B148" s="102" t="s">
        <v>64</v>
      </c>
      <c r="C148" s="59" t="s">
        <v>45</v>
      </c>
      <c r="D148" s="469"/>
      <c r="E148" s="469">
        <v>2705.86319005</v>
      </c>
      <c r="F148" s="469">
        <v>2889.7628164000002</v>
      </c>
      <c r="G148" s="469">
        <v>2983.5624427499997</v>
      </c>
      <c r="H148" s="469">
        <v>3060.3620691000001</v>
      </c>
      <c r="I148" s="470">
        <v>3190.5616954499997</v>
      </c>
    </row>
    <row r="149" spans="2:9">
      <c r="B149" s="159"/>
      <c r="C149" s="80"/>
      <c r="D149" s="80"/>
      <c r="E149" s="82"/>
      <c r="F149" s="82"/>
      <c r="G149" s="82"/>
      <c r="H149" s="83"/>
      <c r="I149" s="84"/>
    </row>
    <row r="150" spans="2:9" ht="13.5" thickBot="1">
      <c r="B150" s="16" t="s">
        <v>2</v>
      </c>
      <c r="C150" s="85"/>
      <c r="D150" s="85"/>
      <c r="E150" s="471">
        <v>47132.856089624074</v>
      </c>
      <c r="F150" s="471">
        <v>49370.084879615322</v>
      </c>
      <c r="G150" s="471">
        <v>52717.004968511428</v>
      </c>
      <c r="H150" s="471">
        <v>58788.667669531467</v>
      </c>
      <c r="I150" s="472">
        <v>60343.05088907788</v>
      </c>
    </row>
  </sheetData>
  <mergeCells count="11">
    <mergeCell ref="M102:O102"/>
    <mergeCell ref="O79:O80"/>
    <mergeCell ref="N79:N80"/>
    <mergeCell ref="B64:I64"/>
    <mergeCell ref="B102:C102"/>
    <mergeCell ref="B63:I63"/>
    <mergeCell ref="B3:I3"/>
    <mergeCell ref="B4:I4"/>
    <mergeCell ref="B5:I5"/>
    <mergeCell ref="B33:C34"/>
    <mergeCell ref="B62:I62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rowBreaks count="3" manualBreakCount="3">
    <brk id="31" max="16383" man="1"/>
    <brk id="60" max="16383" man="1"/>
    <brk id="108" max="16383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7">
    <pageSetUpPr fitToPage="1"/>
  </sheetPr>
  <dimension ref="A1:AN264"/>
  <sheetViews>
    <sheetView zoomScale="70" zoomScaleNormal="70" workbookViewId="0">
      <selection activeCell="E4" sqref="E4"/>
    </sheetView>
  </sheetViews>
  <sheetFormatPr baseColWidth="10" defaultColWidth="11.7265625" defaultRowHeight="15" customHeight="1"/>
  <cols>
    <col min="1" max="1" width="51.453125" style="625" customWidth="1"/>
    <col min="2" max="2" width="11.54296875" style="625" hidden="1" customWidth="1"/>
    <col min="3" max="7" width="11.7265625" style="625"/>
    <col min="8" max="8" width="11" style="625" bestFit="1" customWidth="1"/>
    <col min="9" max="9" width="13.81640625" style="625" customWidth="1"/>
    <col min="10" max="15" width="11.7265625" style="625"/>
    <col min="16" max="16" width="11.7265625" style="625" customWidth="1"/>
    <col min="17" max="18" width="11.7265625" style="625"/>
    <col min="19" max="19" width="11.26953125" style="625" customWidth="1"/>
    <col min="20" max="20" width="11.7265625" style="625"/>
    <col min="21" max="21" width="17.81640625" style="625" customWidth="1"/>
    <col min="22" max="22" width="8.1796875" style="625" customWidth="1"/>
    <col min="23" max="33" width="11.7265625" style="625"/>
    <col min="34" max="34" width="11.7265625" style="625" customWidth="1"/>
    <col min="35" max="36" width="11.7265625" style="625"/>
    <col min="37" max="39" width="11.7265625" style="625" hidden="1" customWidth="1"/>
    <col min="40" max="40" width="10.26953125" style="625" hidden="1" customWidth="1"/>
    <col min="41" max="256" width="11.7265625" style="625"/>
    <col min="257" max="257" width="30" style="625" bestFit="1" customWidth="1"/>
    <col min="258" max="258" width="13.81640625" style="625" bestFit="1" customWidth="1"/>
    <col min="259" max="263" width="11.7265625" style="625"/>
    <col min="264" max="264" width="11" style="625" bestFit="1" customWidth="1"/>
    <col min="265" max="265" width="13.81640625" style="625" customWidth="1"/>
    <col min="266" max="274" width="11.7265625" style="625"/>
    <col min="275" max="275" width="11.26953125" style="625" customWidth="1"/>
    <col min="276" max="276" width="11.7265625" style="625"/>
    <col min="277" max="277" width="17.81640625" style="625" customWidth="1"/>
    <col min="278" max="278" width="8.1796875" style="625" customWidth="1"/>
    <col min="279" max="512" width="11.7265625" style="625"/>
    <col min="513" max="513" width="30" style="625" bestFit="1" customWidth="1"/>
    <col min="514" max="514" width="13.81640625" style="625" bestFit="1" customWidth="1"/>
    <col min="515" max="519" width="11.7265625" style="625"/>
    <col min="520" max="520" width="11" style="625" bestFit="1" customWidth="1"/>
    <col min="521" max="521" width="13.81640625" style="625" customWidth="1"/>
    <col min="522" max="530" width="11.7265625" style="625"/>
    <col min="531" max="531" width="11.26953125" style="625" customWidth="1"/>
    <col min="532" max="532" width="11.7265625" style="625"/>
    <col min="533" max="533" width="17.81640625" style="625" customWidth="1"/>
    <col min="534" max="534" width="8.1796875" style="625" customWidth="1"/>
    <col min="535" max="768" width="11.7265625" style="625"/>
    <col min="769" max="769" width="30" style="625" bestFit="1" customWidth="1"/>
    <col min="770" max="770" width="13.81640625" style="625" bestFit="1" customWidth="1"/>
    <col min="771" max="775" width="11.7265625" style="625"/>
    <col min="776" max="776" width="11" style="625" bestFit="1" customWidth="1"/>
    <col min="777" max="777" width="13.81640625" style="625" customWidth="1"/>
    <col min="778" max="786" width="11.7265625" style="625"/>
    <col min="787" max="787" width="11.26953125" style="625" customWidth="1"/>
    <col min="788" max="788" width="11.7265625" style="625"/>
    <col min="789" max="789" width="17.81640625" style="625" customWidth="1"/>
    <col min="790" max="790" width="8.1796875" style="625" customWidth="1"/>
    <col min="791" max="1024" width="11.7265625" style="625"/>
    <col min="1025" max="1025" width="30" style="625" bestFit="1" customWidth="1"/>
    <col min="1026" max="1026" width="13.81640625" style="625" bestFit="1" customWidth="1"/>
    <col min="1027" max="1031" width="11.7265625" style="625"/>
    <col min="1032" max="1032" width="11" style="625" bestFit="1" customWidth="1"/>
    <col min="1033" max="1033" width="13.81640625" style="625" customWidth="1"/>
    <col min="1034" max="1042" width="11.7265625" style="625"/>
    <col min="1043" max="1043" width="11.26953125" style="625" customWidth="1"/>
    <col min="1044" max="1044" width="11.7265625" style="625"/>
    <col min="1045" max="1045" width="17.81640625" style="625" customWidth="1"/>
    <col min="1046" max="1046" width="8.1796875" style="625" customWidth="1"/>
    <col min="1047" max="1280" width="11.7265625" style="625"/>
    <col min="1281" max="1281" width="30" style="625" bestFit="1" customWidth="1"/>
    <col min="1282" max="1282" width="13.81640625" style="625" bestFit="1" customWidth="1"/>
    <col min="1283" max="1287" width="11.7265625" style="625"/>
    <col min="1288" max="1288" width="11" style="625" bestFit="1" customWidth="1"/>
    <col min="1289" max="1289" width="13.81640625" style="625" customWidth="1"/>
    <col min="1290" max="1298" width="11.7265625" style="625"/>
    <col min="1299" max="1299" width="11.26953125" style="625" customWidth="1"/>
    <col min="1300" max="1300" width="11.7265625" style="625"/>
    <col min="1301" max="1301" width="17.81640625" style="625" customWidth="1"/>
    <col min="1302" max="1302" width="8.1796875" style="625" customWidth="1"/>
    <col min="1303" max="1536" width="11.7265625" style="625"/>
    <col min="1537" max="1537" width="30" style="625" bestFit="1" customWidth="1"/>
    <col min="1538" max="1538" width="13.81640625" style="625" bestFit="1" customWidth="1"/>
    <col min="1539" max="1543" width="11.7265625" style="625"/>
    <col min="1544" max="1544" width="11" style="625" bestFit="1" customWidth="1"/>
    <col min="1545" max="1545" width="13.81640625" style="625" customWidth="1"/>
    <col min="1546" max="1554" width="11.7265625" style="625"/>
    <col min="1555" max="1555" width="11.26953125" style="625" customWidth="1"/>
    <col min="1556" max="1556" width="11.7265625" style="625"/>
    <col min="1557" max="1557" width="17.81640625" style="625" customWidth="1"/>
    <col min="1558" max="1558" width="8.1796875" style="625" customWidth="1"/>
    <col min="1559" max="1792" width="11.7265625" style="625"/>
    <col min="1793" max="1793" width="30" style="625" bestFit="1" customWidth="1"/>
    <col min="1794" max="1794" width="13.81640625" style="625" bestFit="1" customWidth="1"/>
    <col min="1795" max="1799" width="11.7265625" style="625"/>
    <col min="1800" max="1800" width="11" style="625" bestFit="1" customWidth="1"/>
    <col min="1801" max="1801" width="13.81640625" style="625" customWidth="1"/>
    <col min="1802" max="1810" width="11.7265625" style="625"/>
    <col min="1811" max="1811" width="11.26953125" style="625" customWidth="1"/>
    <col min="1812" max="1812" width="11.7265625" style="625"/>
    <col min="1813" max="1813" width="17.81640625" style="625" customWidth="1"/>
    <col min="1814" max="1814" width="8.1796875" style="625" customWidth="1"/>
    <col min="1815" max="2048" width="11.7265625" style="625"/>
    <col min="2049" max="2049" width="30" style="625" bestFit="1" customWidth="1"/>
    <col min="2050" max="2050" width="13.81640625" style="625" bestFit="1" customWidth="1"/>
    <col min="2051" max="2055" width="11.7265625" style="625"/>
    <col min="2056" max="2056" width="11" style="625" bestFit="1" customWidth="1"/>
    <col min="2057" max="2057" width="13.81640625" style="625" customWidth="1"/>
    <col min="2058" max="2066" width="11.7265625" style="625"/>
    <col min="2067" max="2067" width="11.26953125" style="625" customWidth="1"/>
    <col min="2068" max="2068" width="11.7265625" style="625"/>
    <col min="2069" max="2069" width="17.81640625" style="625" customWidth="1"/>
    <col min="2070" max="2070" width="8.1796875" style="625" customWidth="1"/>
    <col min="2071" max="2304" width="11.7265625" style="625"/>
    <col min="2305" max="2305" width="30" style="625" bestFit="1" customWidth="1"/>
    <col min="2306" max="2306" width="13.81640625" style="625" bestFit="1" customWidth="1"/>
    <col min="2307" max="2311" width="11.7265625" style="625"/>
    <col min="2312" max="2312" width="11" style="625" bestFit="1" customWidth="1"/>
    <col min="2313" max="2313" width="13.81640625" style="625" customWidth="1"/>
    <col min="2314" max="2322" width="11.7265625" style="625"/>
    <col min="2323" max="2323" width="11.26953125" style="625" customWidth="1"/>
    <col min="2324" max="2324" width="11.7265625" style="625"/>
    <col min="2325" max="2325" width="17.81640625" style="625" customWidth="1"/>
    <col min="2326" max="2326" width="8.1796875" style="625" customWidth="1"/>
    <col min="2327" max="2560" width="11.7265625" style="625"/>
    <col min="2561" max="2561" width="30" style="625" bestFit="1" customWidth="1"/>
    <col min="2562" max="2562" width="13.81640625" style="625" bestFit="1" customWidth="1"/>
    <col min="2563" max="2567" width="11.7265625" style="625"/>
    <col min="2568" max="2568" width="11" style="625" bestFit="1" customWidth="1"/>
    <col min="2569" max="2569" width="13.81640625" style="625" customWidth="1"/>
    <col min="2570" max="2578" width="11.7265625" style="625"/>
    <col min="2579" max="2579" width="11.26953125" style="625" customWidth="1"/>
    <col min="2580" max="2580" width="11.7265625" style="625"/>
    <col min="2581" max="2581" width="17.81640625" style="625" customWidth="1"/>
    <col min="2582" max="2582" width="8.1796875" style="625" customWidth="1"/>
    <col min="2583" max="2816" width="11.7265625" style="625"/>
    <col min="2817" max="2817" width="30" style="625" bestFit="1" customWidth="1"/>
    <col min="2818" max="2818" width="13.81640625" style="625" bestFit="1" customWidth="1"/>
    <col min="2819" max="2823" width="11.7265625" style="625"/>
    <col min="2824" max="2824" width="11" style="625" bestFit="1" customWidth="1"/>
    <col min="2825" max="2825" width="13.81640625" style="625" customWidth="1"/>
    <col min="2826" max="2834" width="11.7265625" style="625"/>
    <col min="2835" max="2835" width="11.26953125" style="625" customWidth="1"/>
    <col min="2836" max="2836" width="11.7265625" style="625"/>
    <col min="2837" max="2837" width="17.81640625" style="625" customWidth="1"/>
    <col min="2838" max="2838" width="8.1796875" style="625" customWidth="1"/>
    <col min="2839" max="3072" width="11.7265625" style="625"/>
    <col min="3073" max="3073" width="30" style="625" bestFit="1" customWidth="1"/>
    <col min="3074" max="3074" width="13.81640625" style="625" bestFit="1" customWidth="1"/>
    <col min="3075" max="3079" width="11.7265625" style="625"/>
    <col min="3080" max="3080" width="11" style="625" bestFit="1" customWidth="1"/>
    <col min="3081" max="3081" width="13.81640625" style="625" customWidth="1"/>
    <col min="3082" max="3090" width="11.7265625" style="625"/>
    <col min="3091" max="3091" width="11.26953125" style="625" customWidth="1"/>
    <col min="3092" max="3092" width="11.7265625" style="625"/>
    <col min="3093" max="3093" width="17.81640625" style="625" customWidth="1"/>
    <col min="3094" max="3094" width="8.1796875" style="625" customWidth="1"/>
    <col min="3095" max="3328" width="11.7265625" style="625"/>
    <col min="3329" max="3329" width="30" style="625" bestFit="1" customWidth="1"/>
    <col min="3330" max="3330" width="13.81640625" style="625" bestFit="1" customWidth="1"/>
    <col min="3331" max="3335" width="11.7265625" style="625"/>
    <col min="3336" max="3336" width="11" style="625" bestFit="1" customWidth="1"/>
    <col min="3337" max="3337" width="13.81640625" style="625" customWidth="1"/>
    <col min="3338" max="3346" width="11.7265625" style="625"/>
    <col min="3347" max="3347" width="11.26953125" style="625" customWidth="1"/>
    <col min="3348" max="3348" width="11.7265625" style="625"/>
    <col min="3349" max="3349" width="17.81640625" style="625" customWidth="1"/>
    <col min="3350" max="3350" width="8.1796875" style="625" customWidth="1"/>
    <col min="3351" max="3584" width="11.7265625" style="625"/>
    <col min="3585" max="3585" width="30" style="625" bestFit="1" customWidth="1"/>
    <col min="3586" max="3586" width="13.81640625" style="625" bestFit="1" customWidth="1"/>
    <col min="3587" max="3591" width="11.7265625" style="625"/>
    <col min="3592" max="3592" width="11" style="625" bestFit="1" customWidth="1"/>
    <col min="3593" max="3593" width="13.81640625" style="625" customWidth="1"/>
    <col min="3594" max="3602" width="11.7265625" style="625"/>
    <col min="3603" max="3603" width="11.26953125" style="625" customWidth="1"/>
    <col min="3604" max="3604" width="11.7265625" style="625"/>
    <col min="3605" max="3605" width="17.81640625" style="625" customWidth="1"/>
    <col min="3606" max="3606" width="8.1796875" style="625" customWidth="1"/>
    <col min="3607" max="3840" width="11.7265625" style="625"/>
    <col min="3841" max="3841" width="30" style="625" bestFit="1" customWidth="1"/>
    <col min="3842" max="3842" width="13.81640625" style="625" bestFit="1" customWidth="1"/>
    <col min="3843" max="3847" width="11.7265625" style="625"/>
    <col min="3848" max="3848" width="11" style="625" bestFit="1" customWidth="1"/>
    <col min="3849" max="3849" width="13.81640625" style="625" customWidth="1"/>
    <col min="3850" max="3858" width="11.7265625" style="625"/>
    <col min="3859" max="3859" width="11.26953125" style="625" customWidth="1"/>
    <col min="3860" max="3860" width="11.7265625" style="625"/>
    <col min="3861" max="3861" width="17.81640625" style="625" customWidth="1"/>
    <col min="3862" max="3862" width="8.1796875" style="625" customWidth="1"/>
    <col min="3863" max="4096" width="11.7265625" style="625"/>
    <col min="4097" max="4097" width="30" style="625" bestFit="1" customWidth="1"/>
    <col min="4098" max="4098" width="13.81640625" style="625" bestFit="1" customWidth="1"/>
    <col min="4099" max="4103" width="11.7265625" style="625"/>
    <col min="4104" max="4104" width="11" style="625" bestFit="1" customWidth="1"/>
    <col min="4105" max="4105" width="13.81640625" style="625" customWidth="1"/>
    <col min="4106" max="4114" width="11.7265625" style="625"/>
    <col min="4115" max="4115" width="11.26953125" style="625" customWidth="1"/>
    <col min="4116" max="4116" width="11.7265625" style="625"/>
    <col min="4117" max="4117" width="17.81640625" style="625" customWidth="1"/>
    <col min="4118" max="4118" width="8.1796875" style="625" customWidth="1"/>
    <col min="4119" max="4352" width="11.7265625" style="625"/>
    <col min="4353" max="4353" width="30" style="625" bestFit="1" customWidth="1"/>
    <col min="4354" max="4354" width="13.81640625" style="625" bestFit="1" customWidth="1"/>
    <col min="4355" max="4359" width="11.7265625" style="625"/>
    <col min="4360" max="4360" width="11" style="625" bestFit="1" customWidth="1"/>
    <col min="4361" max="4361" width="13.81640625" style="625" customWidth="1"/>
    <col min="4362" max="4370" width="11.7265625" style="625"/>
    <col min="4371" max="4371" width="11.26953125" style="625" customWidth="1"/>
    <col min="4372" max="4372" width="11.7265625" style="625"/>
    <col min="4373" max="4373" width="17.81640625" style="625" customWidth="1"/>
    <col min="4374" max="4374" width="8.1796875" style="625" customWidth="1"/>
    <col min="4375" max="4608" width="11.7265625" style="625"/>
    <col min="4609" max="4609" width="30" style="625" bestFit="1" customWidth="1"/>
    <col min="4610" max="4610" width="13.81640625" style="625" bestFit="1" customWidth="1"/>
    <col min="4611" max="4615" width="11.7265625" style="625"/>
    <col min="4616" max="4616" width="11" style="625" bestFit="1" customWidth="1"/>
    <col min="4617" max="4617" width="13.81640625" style="625" customWidth="1"/>
    <col min="4618" max="4626" width="11.7265625" style="625"/>
    <col min="4627" max="4627" width="11.26953125" style="625" customWidth="1"/>
    <col min="4628" max="4628" width="11.7265625" style="625"/>
    <col min="4629" max="4629" width="17.81640625" style="625" customWidth="1"/>
    <col min="4630" max="4630" width="8.1796875" style="625" customWidth="1"/>
    <col min="4631" max="4864" width="11.7265625" style="625"/>
    <col min="4865" max="4865" width="30" style="625" bestFit="1" customWidth="1"/>
    <col min="4866" max="4866" width="13.81640625" style="625" bestFit="1" customWidth="1"/>
    <col min="4867" max="4871" width="11.7265625" style="625"/>
    <col min="4872" max="4872" width="11" style="625" bestFit="1" customWidth="1"/>
    <col min="4873" max="4873" width="13.81640625" style="625" customWidth="1"/>
    <col min="4874" max="4882" width="11.7265625" style="625"/>
    <col min="4883" max="4883" width="11.26953125" style="625" customWidth="1"/>
    <col min="4884" max="4884" width="11.7265625" style="625"/>
    <col min="4885" max="4885" width="17.81640625" style="625" customWidth="1"/>
    <col min="4886" max="4886" width="8.1796875" style="625" customWidth="1"/>
    <col min="4887" max="5120" width="11.7265625" style="625"/>
    <col min="5121" max="5121" width="30" style="625" bestFit="1" customWidth="1"/>
    <col min="5122" max="5122" width="13.81640625" style="625" bestFit="1" customWidth="1"/>
    <col min="5123" max="5127" width="11.7265625" style="625"/>
    <col min="5128" max="5128" width="11" style="625" bestFit="1" customWidth="1"/>
    <col min="5129" max="5129" width="13.81640625" style="625" customWidth="1"/>
    <col min="5130" max="5138" width="11.7265625" style="625"/>
    <col min="5139" max="5139" width="11.26953125" style="625" customWidth="1"/>
    <col min="5140" max="5140" width="11.7265625" style="625"/>
    <col min="5141" max="5141" width="17.81640625" style="625" customWidth="1"/>
    <col min="5142" max="5142" width="8.1796875" style="625" customWidth="1"/>
    <col min="5143" max="5376" width="11.7265625" style="625"/>
    <col min="5377" max="5377" width="30" style="625" bestFit="1" customWidth="1"/>
    <col min="5378" max="5378" width="13.81640625" style="625" bestFit="1" customWidth="1"/>
    <col min="5379" max="5383" width="11.7265625" style="625"/>
    <col min="5384" max="5384" width="11" style="625" bestFit="1" customWidth="1"/>
    <col min="5385" max="5385" width="13.81640625" style="625" customWidth="1"/>
    <col min="5386" max="5394" width="11.7265625" style="625"/>
    <col min="5395" max="5395" width="11.26953125" style="625" customWidth="1"/>
    <col min="5396" max="5396" width="11.7265625" style="625"/>
    <col min="5397" max="5397" width="17.81640625" style="625" customWidth="1"/>
    <col min="5398" max="5398" width="8.1796875" style="625" customWidth="1"/>
    <col min="5399" max="5632" width="11.7265625" style="625"/>
    <col min="5633" max="5633" width="30" style="625" bestFit="1" customWidth="1"/>
    <col min="5634" max="5634" width="13.81640625" style="625" bestFit="1" customWidth="1"/>
    <col min="5635" max="5639" width="11.7265625" style="625"/>
    <col min="5640" max="5640" width="11" style="625" bestFit="1" customWidth="1"/>
    <col min="5641" max="5641" width="13.81640625" style="625" customWidth="1"/>
    <col min="5642" max="5650" width="11.7265625" style="625"/>
    <col min="5651" max="5651" width="11.26953125" style="625" customWidth="1"/>
    <col min="5652" max="5652" width="11.7265625" style="625"/>
    <col min="5653" max="5653" width="17.81640625" style="625" customWidth="1"/>
    <col min="5654" max="5654" width="8.1796875" style="625" customWidth="1"/>
    <col min="5655" max="5888" width="11.7265625" style="625"/>
    <col min="5889" max="5889" width="30" style="625" bestFit="1" customWidth="1"/>
    <col min="5890" max="5890" width="13.81640625" style="625" bestFit="1" customWidth="1"/>
    <col min="5891" max="5895" width="11.7265625" style="625"/>
    <col min="5896" max="5896" width="11" style="625" bestFit="1" customWidth="1"/>
    <col min="5897" max="5897" width="13.81640625" style="625" customWidth="1"/>
    <col min="5898" max="5906" width="11.7265625" style="625"/>
    <col min="5907" max="5907" width="11.26953125" style="625" customWidth="1"/>
    <col min="5908" max="5908" width="11.7265625" style="625"/>
    <col min="5909" max="5909" width="17.81640625" style="625" customWidth="1"/>
    <col min="5910" max="5910" width="8.1796875" style="625" customWidth="1"/>
    <col min="5911" max="6144" width="11.7265625" style="625"/>
    <col min="6145" max="6145" width="30" style="625" bestFit="1" customWidth="1"/>
    <col min="6146" max="6146" width="13.81640625" style="625" bestFit="1" customWidth="1"/>
    <col min="6147" max="6151" width="11.7265625" style="625"/>
    <col min="6152" max="6152" width="11" style="625" bestFit="1" customWidth="1"/>
    <col min="6153" max="6153" width="13.81640625" style="625" customWidth="1"/>
    <col min="6154" max="6162" width="11.7265625" style="625"/>
    <col min="6163" max="6163" width="11.26953125" style="625" customWidth="1"/>
    <col min="6164" max="6164" width="11.7265625" style="625"/>
    <col min="6165" max="6165" width="17.81640625" style="625" customWidth="1"/>
    <col min="6166" max="6166" width="8.1796875" style="625" customWidth="1"/>
    <col min="6167" max="6400" width="11.7265625" style="625"/>
    <col min="6401" max="6401" width="30" style="625" bestFit="1" customWidth="1"/>
    <col min="6402" max="6402" width="13.81640625" style="625" bestFit="1" customWidth="1"/>
    <col min="6403" max="6407" width="11.7265625" style="625"/>
    <col min="6408" max="6408" width="11" style="625" bestFit="1" customWidth="1"/>
    <col min="6409" max="6409" width="13.81640625" style="625" customWidth="1"/>
    <col min="6410" max="6418" width="11.7265625" style="625"/>
    <col min="6419" max="6419" width="11.26953125" style="625" customWidth="1"/>
    <col min="6420" max="6420" width="11.7265625" style="625"/>
    <col min="6421" max="6421" width="17.81640625" style="625" customWidth="1"/>
    <col min="6422" max="6422" width="8.1796875" style="625" customWidth="1"/>
    <col min="6423" max="6656" width="11.7265625" style="625"/>
    <col min="6657" max="6657" width="30" style="625" bestFit="1" customWidth="1"/>
    <col min="6658" max="6658" width="13.81640625" style="625" bestFit="1" customWidth="1"/>
    <col min="6659" max="6663" width="11.7265625" style="625"/>
    <col min="6664" max="6664" width="11" style="625" bestFit="1" customWidth="1"/>
    <col min="6665" max="6665" width="13.81640625" style="625" customWidth="1"/>
    <col min="6666" max="6674" width="11.7265625" style="625"/>
    <col min="6675" max="6675" width="11.26953125" style="625" customWidth="1"/>
    <col min="6676" max="6676" width="11.7265625" style="625"/>
    <col min="6677" max="6677" width="17.81640625" style="625" customWidth="1"/>
    <col min="6678" max="6678" width="8.1796875" style="625" customWidth="1"/>
    <col min="6679" max="6912" width="11.7265625" style="625"/>
    <col min="6913" max="6913" width="30" style="625" bestFit="1" customWidth="1"/>
    <col min="6914" max="6914" width="13.81640625" style="625" bestFit="1" customWidth="1"/>
    <col min="6915" max="6919" width="11.7265625" style="625"/>
    <col min="6920" max="6920" width="11" style="625" bestFit="1" customWidth="1"/>
    <col min="6921" max="6921" width="13.81640625" style="625" customWidth="1"/>
    <col min="6922" max="6930" width="11.7265625" style="625"/>
    <col min="6931" max="6931" width="11.26953125" style="625" customWidth="1"/>
    <col min="6932" max="6932" width="11.7265625" style="625"/>
    <col min="6933" max="6933" width="17.81640625" style="625" customWidth="1"/>
    <col min="6934" max="6934" width="8.1796875" style="625" customWidth="1"/>
    <col min="6935" max="7168" width="11.7265625" style="625"/>
    <col min="7169" max="7169" width="30" style="625" bestFit="1" customWidth="1"/>
    <col min="7170" max="7170" width="13.81640625" style="625" bestFit="1" customWidth="1"/>
    <col min="7171" max="7175" width="11.7265625" style="625"/>
    <col min="7176" max="7176" width="11" style="625" bestFit="1" customWidth="1"/>
    <col min="7177" max="7177" width="13.81640625" style="625" customWidth="1"/>
    <col min="7178" max="7186" width="11.7265625" style="625"/>
    <col min="7187" max="7187" width="11.26953125" style="625" customWidth="1"/>
    <col min="7188" max="7188" width="11.7265625" style="625"/>
    <col min="7189" max="7189" width="17.81640625" style="625" customWidth="1"/>
    <col min="7190" max="7190" width="8.1796875" style="625" customWidth="1"/>
    <col min="7191" max="7424" width="11.7265625" style="625"/>
    <col min="7425" max="7425" width="30" style="625" bestFit="1" customWidth="1"/>
    <col min="7426" max="7426" width="13.81640625" style="625" bestFit="1" customWidth="1"/>
    <col min="7427" max="7431" width="11.7265625" style="625"/>
    <col min="7432" max="7432" width="11" style="625" bestFit="1" customWidth="1"/>
    <col min="7433" max="7433" width="13.81640625" style="625" customWidth="1"/>
    <col min="7434" max="7442" width="11.7265625" style="625"/>
    <col min="7443" max="7443" width="11.26953125" style="625" customWidth="1"/>
    <col min="7444" max="7444" width="11.7265625" style="625"/>
    <col min="7445" max="7445" width="17.81640625" style="625" customWidth="1"/>
    <col min="7446" max="7446" width="8.1796875" style="625" customWidth="1"/>
    <col min="7447" max="7680" width="11.7265625" style="625"/>
    <col min="7681" max="7681" width="30" style="625" bestFit="1" customWidth="1"/>
    <col min="7682" max="7682" width="13.81640625" style="625" bestFit="1" customWidth="1"/>
    <col min="7683" max="7687" width="11.7265625" style="625"/>
    <col min="7688" max="7688" width="11" style="625" bestFit="1" customWidth="1"/>
    <col min="7689" max="7689" width="13.81640625" style="625" customWidth="1"/>
    <col min="7690" max="7698" width="11.7265625" style="625"/>
    <col min="7699" max="7699" width="11.26953125" style="625" customWidth="1"/>
    <col min="7700" max="7700" width="11.7265625" style="625"/>
    <col min="7701" max="7701" width="17.81640625" style="625" customWidth="1"/>
    <col min="7702" max="7702" width="8.1796875" style="625" customWidth="1"/>
    <col min="7703" max="7936" width="11.7265625" style="625"/>
    <col min="7937" max="7937" width="30" style="625" bestFit="1" customWidth="1"/>
    <col min="7938" max="7938" width="13.81640625" style="625" bestFit="1" customWidth="1"/>
    <col min="7939" max="7943" width="11.7265625" style="625"/>
    <col min="7944" max="7944" width="11" style="625" bestFit="1" customWidth="1"/>
    <col min="7945" max="7945" width="13.81640625" style="625" customWidth="1"/>
    <col min="7946" max="7954" width="11.7265625" style="625"/>
    <col min="7955" max="7955" width="11.26953125" style="625" customWidth="1"/>
    <col min="7956" max="7956" width="11.7265625" style="625"/>
    <col min="7957" max="7957" width="17.81640625" style="625" customWidth="1"/>
    <col min="7958" max="7958" width="8.1796875" style="625" customWidth="1"/>
    <col min="7959" max="8192" width="11.7265625" style="625"/>
    <col min="8193" max="8193" width="30" style="625" bestFit="1" customWidth="1"/>
    <col min="8194" max="8194" width="13.81640625" style="625" bestFit="1" customWidth="1"/>
    <col min="8195" max="8199" width="11.7265625" style="625"/>
    <col min="8200" max="8200" width="11" style="625" bestFit="1" customWidth="1"/>
    <col min="8201" max="8201" width="13.81640625" style="625" customWidth="1"/>
    <col min="8202" max="8210" width="11.7265625" style="625"/>
    <col min="8211" max="8211" width="11.26953125" style="625" customWidth="1"/>
    <col min="8212" max="8212" width="11.7265625" style="625"/>
    <col min="8213" max="8213" width="17.81640625" style="625" customWidth="1"/>
    <col min="8214" max="8214" width="8.1796875" style="625" customWidth="1"/>
    <col min="8215" max="8448" width="11.7265625" style="625"/>
    <col min="8449" max="8449" width="30" style="625" bestFit="1" customWidth="1"/>
    <col min="8450" max="8450" width="13.81640625" style="625" bestFit="1" customWidth="1"/>
    <col min="8451" max="8455" width="11.7265625" style="625"/>
    <col min="8456" max="8456" width="11" style="625" bestFit="1" customWidth="1"/>
    <col min="8457" max="8457" width="13.81640625" style="625" customWidth="1"/>
    <col min="8458" max="8466" width="11.7265625" style="625"/>
    <col min="8467" max="8467" width="11.26953125" style="625" customWidth="1"/>
    <col min="8468" max="8468" width="11.7265625" style="625"/>
    <col min="8469" max="8469" width="17.81640625" style="625" customWidth="1"/>
    <col min="8470" max="8470" width="8.1796875" style="625" customWidth="1"/>
    <col min="8471" max="8704" width="11.7265625" style="625"/>
    <col min="8705" max="8705" width="30" style="625" bestFit="1" customWidth="1"/>
    <col min="8706" max="8706" width="13.81640625" style="625" bestFit="1" customWidth="1"/>
    <col min="8707" max="8711" width="11.7265625" style="625"/>
    <col min="8712" max="8712" width="11" style="625" bestFit="1" customWidth="1"/>
    <col min="8713" max="8713" width="13.81640625" style="625" customWidth="1"/>
    <col min="8714" max="8722" width="11.7265625" style="625"/>
    <col min="8723" max="8723" width="11.26953125" style="625" customWidth="1"/>
    <col min="8724" max="8724" width="11.7265625" style="625"/>
    <col min="8725" max="8725" width="17.81640625" style="625" customWidth="1"/>
    <col min="8726" max="8726" width="8.1796875" style="625" customWidth="1"/>
    <col min="8727" max="8960" width="11.7265625" style="625"/>
    <col min="8961" max="8961" width="30" style="625" bestFit="1" customWidth="1"/>
    <col min="8962" max="8962" width="13.81640625" style="625" bestFit="1" customWidth="1"/>
    <col min="8963" max="8967" width="11.7265625" style="625"/>
    <col min="8968" max="8968" width="11" style="625" bestFit="1" customWidth="1"/>
    <col min="8969" max="8969" width="13.81640625" style="625" customWidth="1"/>
    <col min="8970" max="8978" width="11.7265625" style="625"/>
    <col min="8979" max="8979" width="11.26953125" style="625" customWidth="1"/>
    <col min="8980" max="8980" width="11.7265625" style="625"/>
    <col min="8981" max="8981" width="17.81640625" style="625" customWidth="1"/>
    <col min="8982" max="8982" width="8.1796875" style="625" customWidth="1"/>
    <col min="8983" max="9216" width="11.7265625" style="625"/>
    <col min="9217" max="9217" width="30" style="625" bestFit="1" customWidth="1"/>
    <col min="9218" max="9218" width="13.81640625" style="625" bestFit="1" customWidth="1"/>
    <col min="9219" max="9223" width="11.7265625" style="625"/>
    <col min="9224" max="9224" width="11" style="625" bestFit="1" customWidth="1"/>
    <col min="9225" max="9225" width="13.81640625" style="625" customWidth="1"/>
    <col min="9226" max="9234" width="11.7265625" style="625"/>
    <col min="9235" max="9235" width="11.26953125" style="625" customWidth="1"/>
    <col min="9236" max="9236" width="11.7265625" style="625"/>
    <col min="9237" max="9237" width="17.81640625" style="625" customWidth="1"/>
    <col min="9238" max="9238" width="8.1796875" style="625" customWidth="1"/>
    <col min="9239" max="9472" width="11.7265625" style="625"/>
    <col min="9473" max="9473" width="30" style="625" bestFit="1" customWidth="1"/>
    <col min="9474" max="9474" width="13.81640625" style="625" bestFit="1" customWidth="1"/>
    <col min="9475" max="9479" width="11.7265625" style="625"/>
    <col min="9480" max="9480" width="11" style="625" bestFit="1" customWidth="1"/>
    <col min="9481" max="9481" width="13.81640625" style="625" customWidth="1"/>
    <col min="9482" max="9490" width="11.7265625" style="625"/>
    <col min="9491" max="9491" width="11.26953125" style="625" customWidth="1"/>
    <col min="9492" max="9492" width="11.7265625" style="625"/>
    <col min="9493" max="9493" width="17.81640625" style="625" customWidth="1"/>
    <col min="9494" max="9494" width="8.1796875" style="625" customWidth="1"/>
    <col min="9495" max="9728" width="11.7265625" style="625"/>
    <col min="9729" max="9729" width="30" style="625" bestFit="1" customWidth="1"/>
    <col min="9730" max="9730" width="13.81640625" style="625" bestFit="1" customWidth="1"/>
    <col min="9731" max="9735" width="11.7265625" style="625"/>
    <col min="9736" max="9736" width="11" style="625" bestFit="1" customWidth="1"/>
    <col min="9737" max="9737" width="13.81640625" style="625" customWidth="1"/>
    <col min="9738" max="9746" width="11.7265625" style="625"/>
    <col min="9747" max="9747" width="11.26953125" style="625" customWidth="1"/>
    <col min="9748" max="9748" width="11.7265625" style="625"/>
    <col min="9749" max="9749" width="17.81640625" style="625" customWidth="1"/>
    <col min="9750" max="9750" width="8.1796875" style="625" customWidth="1"/>
    <col min="9751" max="9984" width="11.7265625" style="625"/>
    <col min="9985" max="9985" width="30" style="625" bestFit="1" customWidth="1"/>
    <col min="9986" max="9986" width="13.81640625" style="625" bestFit="1" customWidth="1"/>
    <col min="9987" max="9991" width="11.7265625" style="625"/>
    <col min="9992" max="9992" width="11" style="625" bestFit="1" customWidth="1"/>
    <col min="9993" max="9993" width="13.81640625" style="625" customWidth="1"/>
    <col min="9994" max="10002" width="11.7265625" style="625"/>
    <col min="10003" max="10003" width="11.26953125" style="625" customWidth="1"/>
    <col min="10004" max="10004" width="11.7265625" style="625"/>
    <col min="10005" max="10005" width="17.81640625" style="625" customWidth="1"/>
    <col min="10006" max="10006" width="8.1796875" style="625" customWidth="1"/>
    <col min="10007" max="10240" width="11.7265625" style="625"/>
    <col min="10241" max="10241" width="30" style="625" bestFit="1" customWidth="1"/>
    <col min="10242" max="10242" width="13.81640625" style="625" bestFit="1" customWidth="1"/>
    <col min="10243" max="10247" width="11.7265625" style="625"/>
    <col min="10248" max="10248" width="11" style="625" bestFit="1" customWidth="1"/>
    <col min="10249" max="10249" width="13.81640625" style="625" customWidth="1"/>
    <col min="10250" max="10258" width="11.7265625" style="625"/>
    <col min="10259" max="10259" width="11.26953125" style="625" customWidth="1"/>
    <col min="10260" max="10260" width="11.7265625" style="625"/>
    <col min="10261" max="10261" width="17.81640625" style="625" customWidth="1"/>
    <col min="10262" max="10262" width="8.1796875" style="625" customWidth="1"/>
    <col min="10263" max="10496" width="11.7265625" style="625"/>
    <col min="10497" max="10497" width="30" style="625" bestFit="1" customWidth="1"/>
    <col min="10498" max="10498" width="13.81640625" style="625" bestFit="1" customWidth="1"/>
    <col min="10499" max="10503" width="11.7265625" style="625"/>
    <col min="10504" max="10504" width="11" style="625" bestFit="1" customWidth="1"/>
    <col min="10505" max="10505" width="13.81640625" style="625" customWidth="1"/>
    <col min="10506" max="10514" width="11.7265625" style="625"/>
    <col min="10515" max="10515" width="11.26953125" style="625" customWidth="1"/>
    <col min="10516" max="10516" width="11.7265625" style="625"/>
    <col min="10517" max="10517" width="17.81640625" style="625" customWidth="1"/>
    <col min="10518" max="10518" width="8.1796875" style="625" customWidth="1"/>
    <col min="10519" max="10752" width="11.7265625" style="625"/>
    <col min="10753" max="10753" width="30" style="625" bestFit="1" customWidth="1"/>
    <col min="10754" max="10754" width="13.81640625" style="625" bestFit="1" customWidth="1"/>
    <col min="10755" max="10759" width="11.7265625" style="625"/>
    <col min="10760" max="10760" width="11" style="625" bestFit="1" customWidth="1"/>
    <col min="10761" max="10761" width="13.81640625" style="625" customWidth="1"/>
    <col min="10762" max="10770" width="11.7265625" style="625"/>
    <col min="10771" max="10771" width="11.26953125" style="625" customWidth="1"/>
    <col min="10772" max="10772" width="11.7265625" style="625"/>
    <col min="10773" max="10773" width="17.81640625" style="625" customWidth="1"/>
    <col min="10774" max="10774" width="8.1796875" style="625" customWidth="1"/>
    <col min="10775" max="11008" width="11.7265625" style="625"/>
    <col min="11009" max="11009" width="30" style="625" bestFit="1" customWidth="1"/>
    <col min="11010" max="11010" width="13.81640625" style="625" bestFit="1" customWidth="1"/>
    <col min="11011" max="11015" width="11.7265625" style="625"/>
    <col min="11016" max="11016" width="11" style="625" bestFit="1" customWidth="1"/>
    <col min="11017" max="11017" width="13.81640625" style="625" customWidth="1"/>
    <col min="11018" max="11026" width="11.7265625" style="625"/>
    <col min="11027" max="11027" width="11.26953125" style="625" customWidth="1"/>
    <col min="11028" max="11028" width="11.7265625" style="625"/>
    <col min="11029" max="11029" width="17.81640625" style="625" customWidth="1"/>
    <col min="11030" max="11030" width="8.1796875" style="625" customWidth="1"/>
    <col min="11031" max="11264" width="11.7265625" style="625"/>
    <col min="11265" max="11265" width="30" style="625" bestFit="1" customWidth="1"/>
    <col min="11266" max="11266" width="13.81640625" style="625" bestFit="1" customWidth="1"/>
    <col min="11267" max="11271" width="11.7265625" style="625"/>
    <col min="11272" max="11272" width="11" style="625" bestFit="1" customWidth="1"/>
    <col min="11273" max="11273" width="13.81640625" style="625" customWidth="1"/>
    <col min="11274" max="11282" width="11.7265625" style="625"/>
    <col min="11283" max="11283" width="11.26953125" style="625" customWidth="1"/>
    <col min="11284" max="11284" width="11.7265625" style="625"/>
    <col min="11285" max="11285" width="17.81640625" style="625" customWidth="1"/>
    <col min="11286" max="11286" width="8.1796875" style="625" customWidth="1"/>
    <col min="11287" max="11520" width="11.7265625" style="625"/>
    <col min="11521" max="11521" width="30" style="625" bestFit="1" customWidth="1"/>
    <col min="11522" max="11522" width="13.81640625" style="625" bestFit="1" customWidth="1"/>
    <col min="11523" max="11527" width="11.7265625" style="625"/>
    <col min="11528" max="11528" width="11" style="625" bestFit="1" customWidth="1"/>
    <col min="11529" max="11529" width="13.81640625" style="625" customWidth="1"/>
    <col min="11530" max="11538" width="11.7265625" style="625"/>
    <col min="11539" max="11539" width="11.26953125" style="625" customWidth="1"/>
    <col min="11540" max="11540" width="11.7265625" style="625"/>
    <col min="11541" max="11541" width="17.81640625" style="625" customWidth="1"/>
    <col min="11542" max="11542" width="8.1796875" style="625" customWidth="1"/>
    <col min="11543" max="11776" width="11.7265625" style="625"/>
    <col min="11777" max="11777" width="30" style="625" bestFit="1" customWidth="1"/>
    <col min="11778" max="11778" width="13.81640625" style="625" bestFit="1" customWidth="1"/>
    <col min="11779" max="11783" width="11.7265625" style="625"/>
    <col min="11784" max="11784" width="11" style="625" bestFit="1" customWidth="1"/>
    <col min="11785" max="11785" width="13.81640625" style="625" customWidth="1"/>
    <col min="11786" max="11794" width="11.7265625" style="625"/>
    <col min="11795" max="11795" width="11.26953125" style="625" customWidth="1"/>
    <col min="11796" max="11796" width="11.7265625" style="625"/>
    <col min="11797" max="11797" width="17.81640625" style="625" customWidth="1"/>
    <col min="11798" max="11798" width="8.1796875" style="625" customWidth="1"/>
    <col min="11799" max="12032" width="11.7265625" style="625"/>
    <col min="12033" max="12033" width="30" style="625" bestFit="1" customWidth="1"/>
    <col min="12034" max="12034" width="13.81640625" style="625" bestFit="1" customWidth="1"/>
    <col min="12035" max="12039" width="11.7265625" style="625"/>
    <col min="12040" max="12040" width="11" style="625" bestFit="1" customWidth="1"/>
    <col min="12041" max="12041" width="13.81640625" style="625" customWidth="1"/>
    <col min="12042" max="12050" width="11.7265625" style="625"/>
    <col min="12051" max="12051" width="11.26953125" style="625" customWidth="1"/>
    <col min="12052" max="12052" width="11.7265625" style="625"/>
    <col min="12053" max="12053" width="17.81640625" style="625" customWidth="1"/>
    <col min="12054" max="12054" width="8.1796875" style="625" customWidth="1"/>
    <col min="12055" max="12288" width="11.7265625" style="625"/>
    <col min="12289" max="12289" width="30" style="625" bestFit="1" customWidth="1"/>
    <col min="12290" max="12290" width="13.81640625" style="625" bestFit="1" customWidth="1"/>
    <col min="12291" max="12295" width="11.7265625" style="625"/>
    <col min="12296" max="12296" width="11" style="625" bestFit="1" customWidth="1"/>
    <col min="12297" max="12297" width="13.81640625" style="625" customWidth="1"/>
    <col min="12298" max="12306" width="11.7265625" style="625"/>
    <col min="12307" max="12307" width="11.26953125" style="625" customWidth="1"/>
    <col min="12308" max="12308" width="11.7265625" style="625"/>
    <col min="12309" max="12309" width="17.81640625" style="625" customWidth="1"/>
    <col min="12310" max="12310" width="8.1796875" style="625" customWidth="1"/>
    <col min="12311" max="12544" width="11.7265625" style="625"/>
    <col min="12545" max="12545" width="30" style="625" bestFit="1" customWidth="1"/>
    <col min="12546" max="12546" width="13.81640625" style="625" bestFit="1" customWidth="1"/>
    <col min="12547" max="12551" width="11.7265625" style="625"/>
    <col min="12552" max="12552" width="11" style="625" bestFit="1" customWidth="1"/>
    <col min="12553" max="12553" width="13.81640625" style="625" customWidth="1"/>
    <col min="12554" max="12562" width="11.7265625" style="625"/>
    <col min="12563" max="12563" width="11.26953125" style="625" customWidth="1"/>
    <col min="12564" max="12564" width="11.7265625" style="625"/>
    <col min="12565" max="12565" width="17.81640625" style="625" customWidth="1"/>
    <col min="12566" max="12566" width="8.1796875" style="625" customWidth="1"/>
    <col min="12567" max="12800" width="11.7265625" style="625"/>
    <col min="12801" max="12801" width="30" style="625" bestFit="1" customWidth="1"/>
    <col min="12802" max="12802" width="13.81640625" style="625" bestFit="1" customWidth="1"/>
    <col min="12803" max="12807" width="11.7265625" style="625"/>
    <col min="12808" max="12808" width="11" style="625" bestFit="1" customWidth="1"/>
    <col min="12809" max="12809" width="13.81640625" style="625" customWidth="1"/>
    <col min="12810" max="12818" width="11.7265625" style="625"/>
    <col min="12819" max="12819" width="11.26953125" style="625" customWidth="1"/>
    <col min="12820" max="12820" width="11.7265625" style="625"/>
    <col min="12821" max="12821" width="17.81640625" style="625" customWidth="1"/>
    <col min="12822" max="12822" width="8.1796875" style="625" customWidth="1"/>
    <col min="12823" max="13056" width="11.7265625" style="625"/>
    <col min="13057" max="13057" width="30" style="625" bestFit="1" customWidth="1"/>
    <col min="13058" max="13058" width="13.81640625" style="625" bestFit="1" customWidth="1"/>
    <col min="13059" max="13063" width="11.7265625" style="625"/>
    <col min="13064" max="13064" width="11" style="625" bestFit="1" customWidth="1"/>
    <col min="13065" max="13065" width="13.81640625" style="625" customWidth="1"/>
    <col min="13066" max="13074" width="11.7265625" style="625"/>
    <col min="13075" max="13075" width="11.26953125" style="625" customWidth="1"/>
    <col min="13076" max="13076" width="11.7265625" style="625"/>
    <col min="13077" max="13077" width="17.81640625" style="625" customWidth="1"/>
    <col min="13078" max="13078" width="8.1796875" style="625" customWidth="1"/>
    <col min="13079" max="13312" width="11.7265625" style="625"/>
    <col min="13313" max="13313" width="30" style="625" bestFit="1" customWidth="1"/>
    <col min="13314" max="13314" width="13.81640625" style="625" bestFit="1" customWidth="1"/>
    <col min="13315" max="13319" width="11.7265625" style="625"/>
    <col min="13320" max="13320" width="11" style="625" bestFit="1" customWidth="1"/>
    <col min="13321" max="13321" width="13.81640625" style="625" customWidth="1"/>
    <col min="13322" max="13330" width="11.7265625" style="625"/>
    <col min="13331" max="13331" width="11.26953125" style="625" customWidth="1"/>
    <col min="13332" max="13332" width="11.7265625" style="625"/>
    <col min="13333" max="13333" width="17.81640625" style="625" customWidth="1"/>
    <col min="13334" max="13334" width="8.1796875" style="625" customWidth="1"/>
    <col min="13335" max="13568" width="11.7265625" style="625"/>
    <col min="13569" max="13569" width="30" style="625" bestFit="1" customWidth="1"/>
    <col min="13570" max="13570" width="13.81640625" style="625" bestFit="1" customWidth="1"/>
    <col min="13571" max="13575" width="11.7265625" style="625"/>
    <col min="13576" max="13576" width="11" style="625" bestFit="1" customWidth="1"/>
    <col min="13577" max="13577" width="13.81640625" style="625" customWidth="1"/>
    <col min="13578" max="13586" width="11.7265625" style="625"/>
    <col min="13587" max="13587" width="11.26953125" style="625" customWidth="1"/>
    <col min="13588" max="13588" width="11.7265625" style="625"/>
    <col min="13589" max="13589" width="17.81640625" style="625" customWidth="1"/>
    <col min="13590" max="13590" width="8.1796875" style="625" customWidth="1"/>
    <col min="13591" max="13824" width="11.7265625" style="625"/>
    <col min="13825" max="13825" width="30" style="625" bestFit="1" customWidth="1"/>
    <col min="13826" max="13826" width="13.81640625" style="625" bestFit="1" customWidth="1"/>
    <col min="13827" max="13831" width="11.7265625" style="625"/>
    <col min="13832" max="13832" width="11" style="625" bestFit="1" customWidth="1"/>
    <col min="13833" max="13833" width="13.81640625" style="625" customWidth="1"/>
    <col min="13834" max="13842" width="11.7265625" style="625"/>
    <col min="13843" max="13843" width="11.26953125" style="625" customWidth="1"/>
    <col min="13844" max="13844" width="11.7265625" style="625"/>
    <col min="13845" max="13845" width="17.81640625" style="625" customWidth="1"/>
    <col min="13846" max="13846" width="8.1796875" style="625" customWidth="1"/>
    <col min="13847" max="14080" width="11.7265625" style="625"/>
    <col min="14081" max="14081" width="30" style="625" bestFit="1" customWidth="1"/>
    <col min="14082" max="14082" width="13.81640625" style="625" bestFit="1" customWidth="1"/>
    <col min="14083" max="14087" width="11.7265625" style="625"/>
    <col min="14088" max="14088" width="11" style="625" bestFit="1" customWidth="1"/>
    <col min="14089" max="14089" width="13.81640625" style="625" customWidth="1"/>
    <col min="14090" max="14098" width="11.7265625" style="625"/>
    <col min="14099" max="14099" width="11.26953125" style="625" customWidth="1"/>
    <col min="14100" max="14100" width="11.7265625" style="625"/>
    <col min="14101" max="14101" width="17.81640625" style="625" customWidth="1"/>
    <col min="14102" max="14102" width="8.1796875" style="625" customWidth="1"/>
    <col min="14103" max="14336" width="11.7265625" style="625"/>
    <col min="14337" max="14337" width="30" style="625" bestFit="1" customWidth="1"/>
    <col min="14338" max="14338" width="13.81640625" style="625" bestFit="1" customWidth="1"/>
    <col min="14339" max="14343" width="11.7265625" style="625"/>
    <col min="14344" max="14344" width="11" style="625" bestFit="1" customWidth="1"/>
    <col min="14345" max="14345" width="13.81640625" style="625" customWidth="1"/>
    <col min="14346" max="14354" width="11.7265625" style="625"/>
    <col min="14355" max="14355" width="11.26953125" style="625" customWidth="1"/>
    <col min="14356" max="14356" width="11.7265625" style="625"/>
    <col min="14357" max="14357" width="17.81640625" style="625" customWidth="1"/>
    <col min="14358" max="14358" width="8.1796875" style="625" customWidth="1"/>
    <col min="14359" max="14592" width="11.7265625" style="625"/>
    <col min="14593" max="14593" width="30" style="625" bestFit="1" customWidth="1"/>
    <col min="14594" max="14594" width="13.81640625" style="625" bestFit="1" customWidth="1"/>
    <col min="14595" max="14599" width="11.7265625" style="625"/>
    <col min="14600" max="14600" width="11" style="625" bestFit="1" customWidth="1"/>
    <col min="14601" max="14601" width="13.81640625" style="625" customWidth="1"/>
    <col min="14602" max="14610" width="11.7265625" style="625"/>
    <col min="14611" max="14611" width="11.26953125" style="625" customWidth="1"/>
    <col min="14612" max="14612" width="11.7265625" style="625"/>
    <col min="14613" max="14613" width="17.81640625" style="625" customWidth="1"/>
    <col min="14614" max="14614" width="8.1796875" style="625" customWidth="1"/>
    <col min="14615" max="14848" width="11.7265625" style="625"/>
    <col min="14849" max="14849" width="30" style="625" bestFit="1" customWidth="1"/>
    <col min="14850" max="14850" width="13.81640625" style="625" bestFit="1" customWidth="1"/>
    <col min="14851" max="14855" width="11.7265625" style="625"/>
    <col min="14856" max="14856" width="11" style="625" bestFit="1" customWidth="1"/>
    <col min="14857" max="14857" width="13.81640625" style="625" customWidth="1"/>
    <col min="14858" max="14866" width="11.7265625" style="625"/>
    <col min="14867" max="14867" width="11.26953125" style="625" customWidth="1"/>
    <col min="14868" max="14868" width="11.7265625" style="625"/>
    <col min="14869" max="14869" width="17.81640625" style="625" customWidth="1"/>
    <col min="14870" max="14870" width="8.1796875" style="625" customWidth="1"/>
    <col min="14871" max="15104" width="11.7265625" style="625"/>
    <col min="15105" max="15105" width="30" style="625" bestFit="1" customWidth="1"/>
    <col min="15106" max="15106" width="13.81640625" style="625" bestFit="1" customWidth="1"/>
    <col min="15107" max="15111" width="11.7265625" style="625"/>
    <col min="15112" max="15112" width="11" style="625" bestFit="1" customWidth="1"/>
    <col min="15113" max="15113" width="13.81640625" style="625" customWidth="1"/>
    <col min="15114" max="15122" width="11.7265625" style="625"/>
    <col min="15123" max="15123" width="11.26953125" style="625" customWidth="1"/>
    <col min="15124" max="15124" width="11.7265625" style="625"/>
    <col min="15125" max="15125" width="17.81640625" style="625" customWidth="1"/>
    <col min="15126" max="15126" width="8.1796875" style="625" customWidth="1"/>
    <col min="15127" max="15360" width="11.7265625" style="625"/>
    <col min="15361" max="15361" width="30" style="625" bestFit="1" customWidth="1"/>
    <col min="15362" max="15362" width="13.81640625" style="625" bestFit="1" customWidth="1"/>
    <col min="15363" max="15367" width="11.7265625" style="625"/>
    <col min="15368" max="15368" width="11" style="625" bestFit="1" customWidth="1"/>
    <col min="15369" max="15369" width="13.81640625" style="625" customWidth="1"/>
    <col min="15370" max="15378" width="11.7265625" style="625"/>
    <col min="15379" max="15379" width="11.26953125" style="625" customWidth="1"/>
    <col min="15380" max="15380" width="11.7265625" style="625"/>
    <col min="15381" max="15381" width="17.81640625" style="625" customWidth="1"/>
    <col min="15382" max="15382" width="8.1796875" style="625" customWidth="1"/>
    <col min="15383" max="15616" width="11.7265625" style="625"/>
    <col min="15617" max="15617" width="30" style="625" bestFit="1" customWidth="1"/>
    <col min="15618" max="15618" width="13.81640625" style="625" bestFit="1" customWidth="1"/>
    <col min="15619" max="15623" width="11.7265625" style="625"/>
    <col min="15624" max="15624" width="11" style="625" bestFit="1" customWidth="1"/>
    <col min="15625" max="15625" width="13.81640625" style="625" customWidth="1"/>
    <col min="15626" max="15634" width="11.7265625" style="625"/>
    <col min="15635" max="15635" width="11.26953125" style="625" customWidth="1"/>
    <col min="15636" max="15636" width="11.7265625" style="625"/>
    <col min="15637" max="15637" width="17.81640625" style="625" customWidth="1"/>
    <col min="15638" max="15638" width="8.1796875" style="625" customWidth="1"/>
    <col min="15639" max="15872" width="11.7265625" style="625"/>
    <col min="15873" max="15873" width="30" style="625" bestFit="1" customWidth="1"/>
    <col min="15874" max="15874" width="13.81640625" style="625" bestFit="1" customWidth="1"/>
    <col min="15875" max="15879" width="11.7265625" style="625"/>
    <col min="15880" max="15880" width="11" style="625" bestFit="1" customWidth="1"/>
    <col min="15881" max="15881" width="13.81640625" style="625" customWidth="1"/>
    <col min="15882" max="15890" width="11.7265625" style="625"/>
    <col min="15891" max="15891" width="11.26953125" style="625" customWidth="1"/>
    <col min="15892" max="15892" width="11.7265625" style="625"/>
    <col min="15893" max="15893" width="17.81640625" style="625" customWidth="1"/>
    <col min="15894" max="15894" width="8.1796875" style="625" customWidth="1"/>
    <col min="15895" max="16128" width="11.7265625" style="625"/>
    <col min="16129" max="16129" width="30" style="625" bestFit="1" customWidth="1"/>
    <col min="16130" max="16130" width="13.81640625" style="625" bestFit="1" customWidth="1"/>
    <col min="16131" max="16135" width="11.7265625" style="625"/>
    <col min="16136" max="16136" width="11" style="625" bestFit="1" customWidth="1"/>
    <col min="16137" max="16137" width="13.81640625" style="625" customWidth="1"/>
    <col min="16138" max="16146" width="11.7265625" style="625"/>
    <col min="16147" max="16147" width="11.26953125" style="625" customWidth="1"/>
    <col min="16148" max="16148" width="11.7265625" style="625"/>
    <col min="16149" max="16149" width="17.81640625" style="625" customWidth="1"/>
    <col min="16150" max="16150" width="8.1796875" style="625" customWidth="1"/>
    <col min="16151" max="16384" width="11.7265625" style="625"/>
  </cols>
  <sheetData>
    <row r="1" spans="1:40" ht="27" customHeight="1">
      <c r="A1" s="623" t="s">
        <v>123</v>
      </c>
      <c r="B1" s="623">
        <v>1</v>
      </c>
      <c r="C1" s="624" t="s">
        <v>310</v>
      </c>
      <c r="H1" s="626" t="s">
        <v>352</v>
      </c>
      <c r="I1" s="627"/>
    </row>
    <row r="2" spans="1:40" ht="15" customHeight="1">
      <c r="A2" s="628"/>
      <c r="B2" s="629" t="s">
        <v>353</v>
      </c>
      <c r="C2" s="630"/>
      <c r="D2" s="631" t="s">
        <v>126</v>
      </c>
      <c r="E2" s="632"/>
      <c r="F2" s="633" t="s">
        <v>127</v>
      </c>
    </row>
    <row r="3" spans="1:40" ht="15" customHeight="1">
      <c r="A3" s="634" t="s">
        <v>128</v>
      </c>
      <c r="B3" s="635">
        <v>54543.622199264239</v>
      </c>
      <c r="C3" s="636">
        <f>SUM(C4:C5)</f>
        <v>1</v>
      </c>
      <c r="D3" s="637" t="e">
        <f>SUM(D4:D5)</f>
        <v>#VALUE!</v>
      </c>
      <c r="E3" s="636" t="e">
        <f>D3/$D$3</f>
        <v>#VALUE!</v>
      </c>
      <c r="F3" s="638" t="s">
        <v>129</v>
      </c>
      <c r="H3" s="634" t="s">
        <v>354</v>
      </c>
      <c r="I3" s="639">
        <v>0</v>
      </c>
      <c r="J3" s="640" t="s">
        <v>355</v>
      </c>
      <c r="L3" s="641" t="s">
        <v>130</v>
      </c>
      <c r="M3" s="642">
        <v>0.7</v>
      </c>
      <c r="N3" s="643">
        <f>M3*B3</f>
        <v>38180.535539484961</v>
      </c>
    </row>
    <row r="4" spans="1:40" ht="15" customHeight="1">
      <c r="A4" s="644" t="s">
        <v>110</v>
      </c>
      <c r="B4" s="645">
        <f>C4*B3</f>
        <v>46648.432540596245</v>
      </c>
      <c r="C4" s="646">
        <v>0.85524999366883825</v>
      </c>
      <c r="D4" s="647" t="e">
        <f>SUMIFS([22]Ram!G2:G989,[22]Ram!C2:C989,230,[22]Ram!F2:F989,"S")</f>
        <v>#VALUE!</v>
      </c>
      <c r="E4" s="648" t="e">
        <f>D4/$D$3</f>
        <v>#VALUE!</v>
      </c>
      <c r="F4" s="649" t="e">
        <f>B4/D4</f>
        <v>#VALUE!</v>
      </c>
      <c r="L4" s="641" t="s">
        <v>131</v>
      </c>
      <c r="M4" s="642">
        <v>0.3</v>
      </c>
      <c r="N4" s="643">
        <f>M4*B3</f>
        <v>16363.08665977927</v>
      </c>
    </row>
    <row r="5" spans="1:40" ht="15" customHeight="1">
      <c r="A5" s="650" t="s">
        <v>132</v>
      </c>
      <c r="B5" s="651">
        <f>C5*B3</f>
        <v>7895.1896586679932</v>
      </c>
      <c r="C5" s="652">
        <f>1-C4</f>
        <v>0.14475000633116175</v>
      </c>
      <c r="D5" s="653" t="e">
        <f>SUMIFS([22]Ram!G2:G989,[22]Ram!C2:C989,115,[22]Ram!F2:F989,"S")</f>
        <v>#VALUE!</v>
      </c>
      <c r="E5" s="654" t="e">
        <f>D5/$D$3</f>
        <v>#VALUE!</v>
      </c>
      <c r="F5" s="655" t="e">
        <f>B5/D5</f>
        <v>#VALUE!</v>
      </c>
    </row>
    <row r="6" spans="1:40" ht="15" customHeight="1">
      <c r="A6" s="656"/>
      <c r="B6" s="656"/>
      <c r="C6" s="657"/>
      <c r="E6" s="657"/>
      <c r="L6" s="658" t="s">
        <v>356</v>
      </c>
      <c r="M6" s="659">
        <f>[22]ENERGIA!L17</f>
        <v>9737.3291154014005</v>
      </c>
      <c r="N6" s="660" t="s">
        <v>357</v>
      </c>
    </row>
    <row r="7" spans="1:40" ht="15" customHeight="1">
      <c r="A7" s="661" t="s">
        <v>358</v>
      </c>
      <c r="B7" s="635">
        <f>60574.3867290386-11500</f>
        <v>49074.386729038597</v>
      </c>
      <c r="C7" s="636">
        <v>1</v>
      </c>
      <c r="D7" s="662" t="e">
        <f>SUMIF([22]Ram!F3:F989,"SD",[22]Ram!G3:G989)</f>
        <v>#VALUE!</v>
      </c>
      <c r="E7" s="636">
        <v>1</v>
      </c>
      <c r="F7" s="663" t="e">
        <f>IF(B7&gt;0,B7/D7,0)</f>
        <v>#VALUE!</v>
      </c>
      <c r="H7" s="634" t="s">
        <v>359</v>
      </c>
      <c r="I7" s="639">
        <v>0</v>
      </c>
      <c r="J7" s="640" t="s">
        <v>355</v>
      </c>
      <c r="L7" s="664" t="s">
        <v>360</v>
      </c>
      <c r="M7" s="665">
        <f>[22]ENERGIA!L2</f>
        <v>11181.051490669599</v>
      </c>
      <c r="N7" s="666" t="s">
        <v>357</v>
      </c>
    </row>
    <row r="9" spans="1:40" ht="15" customHeight="1">
      <c r="A9" s="1022" t="s">
        <v>264</v>
      </c>
      <c r="B9" s="1022"/>
      <c r="C9" s="1022"/>
      <c r="D9" s="1022"/>
      <c r="E9" s="1022"/>
      <c r="F9" s="1022"/>
      <c r="G9" s="1022"/>
      <c r="H9" s="1022"/>
      <c r="I9" s="1022"/>
      <c r="J9" s="1022"/>
      <c r="K9" s="1022"/>
      <c r="L9" s="1022"/>
    </row>
    <row r="10" spans="1:40" ht="15" customHeight="1">
      <c r="A10" s="667" t="s">
        <v>361</v>
      </c>
      <c r="B10" s="668">
        <v>1</v>
      </c>
      <c r="C10" s="669">
        <v>2</v>
      </c>
      <c r="D10" s="669">
        <v>3</v>
      </c>
      <c r="E10" s="669">
        <v>4</v>
      </c>
      <c r="F10" s="669">
        <v>5</v>
      </c>
      <c r="G10" s="669">
        <v>6</v>
      </c>
      <c r="H10" s="669">
        <v>7</v>
      </c>
      <c r="I10" s="669">
        <v>8</v>
      </c>
      <c r="J10" s="669">
        <v>9</v>
      </c>
      <c r="K10" s="670">
        <v>10</v>
      </c>
      <c r="L10" s="671" t="s">
        <v>15</v>
      </c>
    </row>
    <row r="11" spans="1:40" ht="15" customHeight="1">
      <c r="A11" s="672" t="s">
        <v>136</v>
      </c>
      <c r="B11" s="673">
        <f t="shared" ref="B11:K11" si="0">SUMIF($S$17:$S$1015,B$10,$N$17:$N$1059)</f>
        <v>212.7946</v>
      </c>
      <c r="C11" s="673">
        <f t="shared" si="0"/>
        <v>537.79999999999995</v>
      </c>
      <c r="D11" s="673">
        <f t="shared" si="0"/>
        <v>155.26999999999998</v>
      </c>
      <c r="E11" s="673">
        <f t="shared" si="0"/>
        <v>334.7</v>
      </c>
      <c r="F11" s="673">
        <f t="shared" si="0"/>
        <v>129.55325200000001</v>
      </c>
      <c r="G11" s="673">
        <f t="shared" si="0"/>
        <v>149</v>
      </c>
      <c r="H11" s="673">
        <f t="shared" si="0"/>
        <v>105.8</v>
      </c>
      <c r="I11" s="673">
        <f t="shared" si="0"/>
        <v>260</v>
      </c>
      <c r="J11" s="673">
        <f t="shared" si="0"/>
        <v>774.45</v>
      </c>
      <c r="K11" s="673">
        <f t="shared" si="0"/>
        <v>252.17</v>
      </c>
      <c r="L11" s="674">
        <f>SUM(B11:K11)</f>
        <v>2911.5378519999999</v>
      </c>
      <c r="M11" s="675">
        <f>SUM(D17,D37,D45,D53,D96,D145,D152,D159,D162,D171)</f>
        <v>4038.9042209999998</v>
      </c>
    </row>
    <row r="12" spans="1:40" ht="15" customHeight="1">
      <c r="A12" s="676" t="s">
        <v>137</v>
      </c>
      <c r="B12" s="677">
        <f t="shared" ref="B12:K12" si="1">SUMIF($T$17:$T$1006,B$10,$AF$17:$AF$1006)</f>
        <v>16.919999999999998</v>
      </c>
      <c r="C12" s="677">
        <f t="shared" si="1"/>
        <v>0</v>
      </c>
      <c r="D12" s="677">
        <f t="shared" si="1"/>
        <v>0.1</v>
      </c>
      <c r="E12" s="677">
        <f t="shared" si="1"/>
        <v>121.6</v>
      </c>
      <c r="F12" s="677">
        <f t="shared" si="1"/>
        <v>466.95</v>
      </c>
      <c r="G12" s="677">
        <f t="shared" si="1"/>
        <v>174.70999999999998</v>
      </c>
      <c r="H12" s="677">
        <f t="shared" si="1"/>
        <v>1014.5791169999999</v>
      </c>
      <c r="I12" s="677">
        <f t="shared" si="1"/>
        <v>1.34</v>
      </c>
      <c r="J12" s="677">
        <f t="shared" si="1"/>
        <v>116.14</v>
      </c>
      <c r="K12" s="677">
        <f t="shared" si="1"/>
        <v>44.32</v>
      </c>
      <c r="L12" s="678">
        <f>SUM(B12:K12)</f>
        <v>1956.6591169999999</v>
      </c>
      <c r="M12" s="675">
        <f>SUM(AI17,AI22,AI24,AI28,AI33,AI43,AI50,AI68,AI72,AI80)</f>
        <v>2200.13</v>
      </c>
    </row>
    <row r="13" spans="1:40" ht="15" customHeight="1">
      <c r="M13" s="679"/>
    </row>
    <row r="14" spans="1:40" ht="15" customHeight="1">
      <c r="W14" s="680">
        <f t="shared" ref="W14:AI14" si="2">+W17+W22+W24+W28+W33+W43+W50+W68+W72+W80</f>
        <v>1778.4082769999998</v>
      </c>
      <c r="X14" s="680">
        <f t="shared" si="2"/>
        <v>1837.7390619999996</v>
      </c>
      <c r="Y14" s="680">
        <f t="shared" si="2"/>
        <v>1816.97</v>
      </c>
      <c r="Z14" s="680">
        <f t="shared" si="2"/>
        <v>1727.0200000000002</v>
      </c>
      <c r="AA14" s="680">
        <f t="shared" si="2"/>
        <v>1822.1856699999998</v>
      </c>
      <c r="AB14" s="680">
        <f t="shared" si="2"/>
        <v>2004.1534630000001</v>
      </c>
      <c r="AC14" s="680">
        <f t="shared" si="2"/>
        <v>1811.3636560000002</v>
      </c>
      <c r="AD14" s="680">
        <f t="shared" si="2"/>
        <v>1893.3384029999997</v>
      </c>
      <c r="AE14" s="680">
        <f t="shared" si="2"/>
        <v>1963.176285</v>
      </c>
      <c r="AF14" s="680">
        <f t="shared" si="2"/>
        <v>1956.6591169999999</v>
      </c>
      <c r="AG14" s="680">
        <f t="shared" si="2"/>
        <v>1843.1727960000001</v>
      </c>
      <c r="AH14" s="680">
        <f t="shared" si="2"/>
        <v>1796.9481169999997</v>
      </c>
      <c r="AI14" s="680">
        <f t="shared" si="2"/>
        <v>2200.13</v>
      </c>
      <c r="AK14" s="681"/>
      <c r="AL14" s="681"/>
      <c r="AM14" s="681"/>
      <c r="AN14" s="681"/>
    </row>
    <row r="15" spans="1:40" ht="15" customHeight="1">
      <c r="A15" s="682" t="s">
        <v>362</v>
      </c>
      <c r="B15" s="683"/>
      <c r="C15" s="683"/>
      <c r="D15" s="684">
        <f t="shared" ref="D15:P15" si="3">+D17+D37+D45+D53+D96+D145+D152+D159+D162+D171</f>
        <v>4038.9042209999998</v>
      </c>
      <c r="E15" s="684">
        <f t="shared" si="3"/>
        <v>3056.3445999999999</v>
      </c>
      <c r="F15" s="684">
        <f t="shared" si="3"/>
        <v>2964.7646</v>
      </c>
      <c r="G15" s="684">
        <f t="shared" si="3"/>
        <v>2928.0946000000004</v>
      </c>
      <c r="H15" s="684">
        <f t="shared" si="3"/>
        <v>2958.2146000000002</v>
      </c>
      <c r="I15" s="684">
        <f t="shared" si="3"/>
        <v>2913.2646</v>
      </c>
      <c r="J15" s="684">
        <f t="shared" si="3"/>
        <v>2756.7146000000002</v>
      </c>
      <c r="K15" s="684">
        <f t="shared" si="3"/>
        <v>2872.5346</v>
      </c>
      <c r="L15" s="684">
        <f t="shared" si="3"/>
        <v>2953.4546</v>
      </c>
      <c r="M15" s="684">
        <f t="shared" si="3"/>
        <v>2989.4146000000001</v>
      </c>
      <c r="N15" s="684">
        <f t="shared" si="3"/>
        <v>2911.5378519999999</v>
      </c>
      <c r="O15" s="684">
        <f t="shared" si="3"/>
        <v>2934.5202319999999</v>
      </c>
      <c r="P15" s="684">
        <f t="shared" si="3"/>
        <v>2961.4791679999998</v>
      </c>
      <c r="Q15" s="683"/>
      <c r="R15" s="683"/>
      <c r="S15" s="685"/>
      <c r="T15" s="682" t="s">
        <v>363</v>
      </c>
      <c r="U15" s="683"/>
      <c r="V15" s="683"/>
      <c r="W15" s="686">
        <v>44378</v>
      </c>
      <c r="X15" s="686">
        <v>44409</v>
      </c>
      <c r="Y15" s="686">
        <v>44440</v>
      </c>
      <c r="Z15" s="686">
        <v>44470</v>
      </c>
      <c r="AA15" s="686">
        <v>44501</v>
      </c>
      <c r="AB15" s="686">
        <v>44531</v>
      </c>
      <c r="AC15" s="686">
        <v>44562</v>
      </c>
      <c r="AD15" s="686">
        <v>44593</v>
      </c>
      <c r="AE15" s="686">
        <v>44621</v>
      </c>
      <c r="AF15" s="686">
        <v>44652</v>
      </c>
      <c r="AG15" s="686">
        <v>44682</v>
      </c>
      <c r="AH15" s="686">
        <v>44713</v>
      </c>
      <c r="AK15" s="687" t="s">
        <v>363</v>
      </c>
      <c r="AL15" s="688"/>
      <c r="AM15" s="688"/>
      <c r="AN15" s="688"/>
    </row>
    <row r="16" spans="1:40" ht="26">
      <c r="A16" s="689" t="s">
        <v>140</v>
      </c>
      <c r="B16" s="690"/>
      <c r="C16" s="691" t="s">
        <v>141</v>
      </c>
      <c r="D16" s="692" t="s">
        <v>136</v>
      </c>
      <c r="E16" s="692">
        <v>1</v>
      </c>
      <c r="F16" s="692">
        <v>2</v>
      </c>
      <c r="G16" s="692">
        <v>3</v>
      </c>
      <c r="H16" s="692">
        <v>4</v>
      </c>
      <c r="I16" s="692">
        <v>5</v>
      </c>
      <c r="J16" s="692">
        <v>6</v>
      </c>
      <c r="K16" s="692">
        <v>7</v>
      </c>
      <c r="L16" s="692">
        <v>8</v>
      </c>
      <c r="M16" s="692">
        <v>9</v>
      </c>
      <c r="N16" s="692">
        <v>10</v>
      </c>
      <c r="O16" s="692">
        <v>11</v>
      </c>
      <c r="P16" s="692">
        <v>12</v>
      </c>
      <c r="Q16" s="692" t="s">
        <v>142</v>
      </c>
      <c r="R16" s="693"/>
      <c r="S16" s="693"/>
      <c r="T16" s="694" t="s">
        <v>140</v>
      </c>
      <c r="U16" s="695"/>
      <c r="V16" s="696" t="s">
        <v>141</v>
      </c>
      <c r="W16" s="697">
        <v>1</v>
      </c>
      <c r="X16" s="697">
        <v>2</v>
      </c>
      <c r="Y16" s="697">
        <v>3</v>
      </c>
      <c r="Z16" s="697">
        <v>4</v>
      </c>
      <c r="AA16" s="697">
        <v>5</v>
      </c>
      <c r="AB16" s="697">
        <v>6</v>
      </c>
      <c r="AC16" s="697">
        <v>7</v>
      </c>
      <c r="AD16" s="697">
        <v>8</v>
      </c>
      <c r="AE16" s="697">
        <v>9</v>
      </c>
      <c r="AF16" s="697">
        <v>10</v>
      </c>
      <c r="AG16" s="697">
        <v>11</v>
      </c>
      <c r="AH16" s="697">
        <v>12</v>
      </c>
      <c r="AI16" s="697" t="s">
        <v>364</v>
      </c>
      <c r="AJ16" s="693"/>
      <c r="AK16" s="698" t="s">
        <v>140</v>
      </c>
      <c r="AL16" s="699"/>
      <c r="AM16" s="700" t="s">
        <v>141</v>
      </c>
      <c r="AN16" s="701" t="s">
        <v>137</v>
      </c>
    </row>
    <row r="17" spans="1:40" ht="15" customHeight="1">
      <c r="A17" s="702">
        <v>1</v>
      </c>
      <c r="B17" s="703"/>
      <c r="C17" s="704"/>
      <c r="D17" s="705">
        <f>SUM(D18:D29)</f>
        <v>299.69459999999998</v>
      </c>
      <c r="E17" s="705">
        <f>SUM(E18:E22)</f>
        <v>212.7946</v>
      </c>
      <c r="F17" s="705">
        <f>SUM(F18:F22)</f>
        <v>212.7946</v>
      </c>
      <c r="G17" s="705">
        <f>SUM(G18:G22)</f>
        <v>212.7946</v>
      </c>
      <c r="H17" s="705">
        <f>SUM(H18:H22)</f>
        <v>212.7946</v>
      </c>
      <c r="I17" s="705">
        <f t="shared" ref="I17:P17" si="4">SUM(I18:I36)</f>
        <v>212.7946</v>
      </c>
      <c r="J17" s="705">
        <f t="shared" si="4"/>
        <v>212.7946</v>
      </c>
      <c r="K17" s="705">
        <f t="shared" si="4"/>
        <v>212.7946</v>
      </c>
      <c r="L17" s="705">
        <f t="shared" si="4"/>
        <v>212.7946</v>
      </c>
      <c r="M17" s="705">
        <f t="shared" si="4"/>
        <v>212.7946</v>
      </c>
      <c r="N17" s="705">
        <f t="shared" si="4"/>
        <v>212.7946</v>
      </c>
      <c r="O17" s="705">
        <f t="shared" si="4"/>
        <v>212.7946</v>
      </c>
      <c r="P17" s="705">
        <f t="shared" si="4"/>
        <v>212.7946</v>
      </c>
      <c r="Q17" s="706"/>
      <c r="R17" s="679"/>
      <c r="S17" s="679"/>
      <c r="T17" s="707">
        <v>1</v>
      </c>
      <c r="U17" s="703"/>
      <c r="V17" s="704"/>
      <c r="W17" s="705">
        <f>SUM(W18:W21)</f>
        <v>15.010000000000002</v>
      </c>
      <c r="X17" s="705">
        <f t="shared" ref="X17:AI17" si="5">SUM(X18:X21)</f>
        <v>17.7</v>
      </c>
      <c r="Y17" s="705">
        <f t="shared" si="5"/>
        <v>18.38</v>
      </c>
      <c r="Z17" s="705">
        <f t="shared" si="5"/>
        <v>16.41</v>
      </c>
      <c r="AA17" s="705">
        <f t="shared" si="5"/>
        <v>15.86</v>
      </c>
      <c r="AB17" s="705">
        <f t="shared" si="5"/>
        <v>22.990000000000002</v>
      </c>
      <c r="AC17" s="705">
        <f t="shared" si="5"/>
        <v>17.36</v>
      </c>
      <c r="AD17" s="705">
        <f>SUM(AD18:AD21)</f>
        <v>17.22</v>
      </c>
      <c r="AE17" s="705">
        <f t="shared" si="5"/>
        <v>19.48</v>
      </c>
      <c r="AF17" s="705">
        <f t="shared" si="5"/>
        <v>16.919999999999998</v>
      </c>
      <c r="AG17" s="705">
        <f t="shared" si="5"/>
        <v>16.309999999999999</v>
      </c>
      <c r="AH17" s="705">
        <f t="shared" si="5"/>
        <v>14.9</v>
      </c>
      <c r="AI17" s="705">
        <f t="shared" si="5"/>
        <v>23.37</v>
      </c>
      <c r="AJ17" s="679"/>
      <c r="AK17" s="708">
        <v>1</v>
      </c>
      <c r="AL17" s="709"/>
      <c r="AM17" s="710"/>
      <c r="AN17" s="711">
        <v>40.409999999999997</v>
      </c>
    </row>
    <row r="18" spans="1:40" ht="15" customHeight="1">
      <c r="A18" s="712" t="s">
        <v>79</v>
      </c>
      <c r="C18" s="713">
        <v>6014</v>
      </c>
      <c r="D18" s="714">
        <v>87.6</v>
      </c>
      <c r="E18" s="715">
        <v>87.6</v>
      </c>
      <c r="F18" s="715">
        <v>87.6</v>
      </c>
      <c r="G18" s="715">
        <v>87.6</v>
      </c>
      <c r="H18" s="715">
        <v>87.6</v>
      </c>
      <c r="I18" s="715">
        <v>87.6</v>
      </c>
      <c r="J18" s="715">
        <v>87.6</v>
      </c>
      <c r="K18" s="715">
        <v>87.6</v>
      </c>
      <c r="L18" s="715">
        <v>87.6</v>
      </c>
      <c r="M18" s="715">
        <v>87.6</v>
      </c>
      <c r="N18" s="715">
        <v>87.6</v>
      </c>
      <c r="O18" s="715">
        <v>87.6</v>
      </c>
      <c r="P18" s="715">
        <v>87.6</v>
      </c>
      <c r="Q18" s="716">
        <v>0</v>
      </c>
      <c r="R18" s="717" t="str">
        <f>IFERROR(VLOOKUP($C18,[23]Nod!$A$3:$E$992,4,FALSE)," ")</f>
        <v>PRO230</v>
      </c>
      <c r="S18" s="717">
        <f>IFERROR(VLOOKUP($C18,[23]Nod!$A$3:$E$992,5,FALSE)," ")</f>
        <v>1</v>
      </c>
      <c r="T18" s="718" t="s">
        <v>87</v>
      </c>
      <c r="V18" s="713"/>
      <c r="W18" s="715"/>
      <c r="X18" s="715"/>
      <c r="Y18" s="715"/>
      <c r="Z18" s="715"/>
      <c r="AA18" s="715"/>
      <c r="AB18" s="715"/>
      <c r="AC18" s="715"/>
      <c r="AD18" s="715"/>
      <c r="AE18" s="715"/>
      <c r="AF18" s="715"/>
      <c r="AG18" s="715"/>
      <c r="AH18" s="715"/>
      <c r="AI18" s="715"/>
      <c r="AJ18" s="679"/>
      <c r="AK18" s="719" t="s">
        <v>87</v>
      </c>
      <c r="AL18" s="720"/>
      <c r="AM18" s="721"/>
      <c r="AN18" s="722"/>
    </row>
    <row r="19" spans="1:40" ht="15" customHeight="1">
      <c r="A19" s="712" t="s">
        <v>27</v>
      </c>
      <c r="C19" s="713">
        <v>6014</v>
      </c>
      <c r="D19" s="714">
        <v>57.4</v>
      </c>
      <c r="E19" s="715">
        <v>57.4</v>
      </c>
      <c r="F19" s="715">
        <v>57.4</v>
      </c>
      <c r="G19" s="715">
        <v>57.4</v>
      </c>
      <c r="H19" s="715">
        <v>57.4</v>
      </c>
      <c r="I19" s="715">
        <v>57.4</v>
      </c>
      <c r="J19" s="715">
        <v>57.4</v>
      </c>
      <c r="K19" s="715">
        <v>57.4</v>
      </c>
      <c r="L19" s="715">
        <v>57.4</v>
      </c>
      <c r="M19" s="715">
        <v>57.4</v>
      </c>
      <c r="N19" s="715">
        <v>57.4</v>
      </c>
      <c r="O19" s="715">
        <v>57.4</v>
      </c>
      <c r="P19" s="715">
        <v>57.4</v>
      </c>
      <c r="Q19" s="716">
        <v>0</v>
      </c>
      <c r="R19" s="717" t="str">
        <f>IFERROR(VLOOKUP($C19,[23]Nod!$A$3:$E$992,4,FALSE)," ")</f>
        <v>PRO230</v>
      </c>
      <c r="S19" s="717">
        <f>IFERROR(VLOOKUP($C19,[23]Nod!$A$3:$E$992,5,FALSE)," ")</f>
        <v>1</v>
      </c>
      <c r="T19" s="723" t="s">
        <v>143</v>
      </c>
      <c r="V19" s="713">
        <v>6014</v>
      </c>
      <c r="W19" s="715">
        <f>+'[24]Resumen Modelo'!G9</f>
        <v>14.47</v>
      </c>
      <c r="X19" s="715">
        <f>+'[24]Resumen Modelo'!H9</f>
        <v>16.75</v>
      </c>
      <c r="Y19" s="715">
        <f>+'[24]Resumen Modelo'!I9</f>
        <v>17.5</v>
      </c>
      <c r="Z19" s="715">
        <f>+'[24]Resumen Modelo'!J9</f>
        <v>15.41</v>
      </c>
      <c r="AA19" s="715">
        <f>+'[24]Resumen Modelo'!K9</f>
        <v>14.94</v>
      </c>
      <c r="AB19" s="715">
        <f>+'[24]Resumen Modelo'!L9</f>
        <v>22.37</v>
      </c>
      <c r="AC19" s="715">
        <f>+'[24]Resumen Modelo'!M9</f>
        <v>16.68</v>
      </c>
      <c r="AD19" s="715">
        <f>+'[24]Resumen Modelo'!N9</f>
        <v>16.38</v>
      </c>
      <c r="AE19" s="715">
        <f>+'[24]Resumen Modelo'!O9</f>
        <v>18.62</v>
      </c>
      <c r="AF19" s="715">
        <f>+'[24]Resumen Modelo'!P9</f>
        <v>16.329999999999998</v>
      </c>
      <c r="AG19" s="715">
        <f>+'[24]Resumen Modelo'!Q9</f>
        <v>15.68</v>
      </c>
      <c r="AH19" s="715">
        <f>+'[24]Resumen Modelo'!R9</f>
        <v>14.3</v>
      </c>
      <c r="AI19" s="715">
        <f>+MAX(W19:AH19)</f>
        <v>22.37</v>
      </c>
      <c r="AJ19" s="679" t="str">
        <f>IFERROR(VLOOKUP($V19,#REF!,4,FALSE)," ")</f>
        <v xml:space="preserve"> </v>
      </c>
      <c r="AK19" s="724" t="s">
        <v>365</v>
      </c>
      <c r="AL19" s="720"/>
      <c r="AM19" s="721">
        <v>6014</v>
      </c>
      <c r="AN19" s="722">
        <v>39.01</v>
      </c>
    </row>
    <row r="20" spans="1:40" ht="15" customHeight="1">
      <c r="A20" s="712" t="s">
        <v>366</v>
      </c>
      <c r="C20" s="713">
        <v>6014</v>
      </c>
      <c r="D20" s="714">
        <v>30</v>
      </c>
      <c r="E20" s="715">
        <v>30</v>
      </c>
      <c r="F20" s="715">
        <v>30</v>
      </c>
      <c r="G20" s="715">
        <v>30</v>
      </c>
      <c r="H20" s="715">
        <v>30</v>
      </c>
      <c r="I20" s="715">
        <v>30</v>
      </c>
      <c r="J20" s="715">
        <v>30</v>
      </c>
      <c r="K20" s="715">
        <v>30</v>
      </c>
      <c r="L20" s="715">
        <v>30</v>
      </c>
      <c r="M20" s="715">
        <v>30</v>
      </c>
      <c r="N20" s="715">
        <v>30</v>
      </c>
      <c r="O20" s="715">
        <v>30</v>
      </c>
      <c r="P20" s="715">
        <v>30</v>
      </c>
      <c r="Q20" s="716">
        <v>0</v>
      </c>
      <c r="R20" s="717" t="str">
        <f>IFERROR(VLOOKUP($C20,[23]Nod!$A$3:$E$992,4,FALSE)," ")</f>
        <v>PRO230</v>
      </c>
      <c r="S20" s="717">
        <f>IFERROR(VLOOKUP($C20,[23]Nod!$A$3:$E$992,5,FALSE)," ")</f>
        <v>1</v>
      </c>
      <c r="T20" s="723" t="s">
        <v>145</v>
      </c>
      <c r="V20" s="713">
        <v>6014</v>
      </c>
      <c r="W20" s="715">
        <f>+'[24]Resumen Modelo'!G10</f>
        <v>0.54</v>
      </c>
      <c r="X20" s="715">
        <f>+'[24]Resumen Modelo'!H10</f>
        <v>0.95</v>
      </c>
      <c r="Y20" s="715">
        <f>+'[24]Resumen Modelo'!I10</f>
        <v>0.88</v>
      </c>
      <c r="Z20" s="715">
        <f>+'[24]Resumen Modelo'!J10</f>
        <v>1</v>
      </c>
      <c r="AA20" s="715">
        <f>+'[24]Resumen Modelo'!K10</f>
        <v>0.92</v>
      </c>
      <c r="AB20" s="715">
        <f>+'[24]Resumen Modelo'!L10</f>
        <v>0.62</v>
      </c>
      <c r="AC20" s="715">
        <f>+'[24]Resumen Modelo'!M10</f>
        <v>0.68</v>
      </c>
      <c r="AD20" s="715">
        <f>+'[24]Resumen Modelo'!N10</f>
        <v>0.84</v>
      </c>
      <c r="AE20" s="715">
        <f>+'[24]Resumen Modelo'!O10</f>
        <v>0.86</v>
      </c>
      <c r="AF20" s="715">
        <f>+'[24]Resumen Modelo'!P10</f>
        <v>0.59</v>
      </c>
      <c r="AG20" s="715">
        <f>+'[24]Resumen Modelo'!Q10</f>
        <v>0.63</v>
      </c>
      <c r="AH20" s="715">
        <f>+'[24]Resumen Modelo'!R10</f>
        <v>0.6</v>
      </c>
      <c r="AI20" s="715">
        <f>+MAX(W20:AH20)</f>
        <v>1</v>
      </c>
      <c r="AJ20" s="679" t="str">
        <f>IFERROR(VLOOKUP($V20,#REF!,4,FALSE)," ")</f>
        <v xml:space="preserve"> </v>
      </c>
      <c r="AK20" s="724" t="s">
        <v>145</v>
      </c>
      <c r="AL20" s="720"/>
      <c r="AM20" s="721">
        <v>6014</v>
      </c>
      <c r="AN20" s="722">
        <v>1.4</v>
      </c>
    </row>
    <row r="21" spans="1:40" ht="15" customHeight="1">
      <c r="A21" s="712" t="s">
        <v>367</v>
      </c>
      <c r="C21" s="713">
        <v>6014</v>
      </c>
      <c r="D21" s="714">
        <v>27.9</v>
      </c>
      <c r="E21" s="715">
        <v>27.9</v>
      </c>
      <c r="F21" s="715">
        <v>27.9</v>
      </c>
      <c r="G21" s="715">
        <v>27.9</v>
      </c>
      <c r="H21" s="715">
        <v>27.9</v>
      </c>
      <c r="I21" s="715">
        <v>27.9</v>
      </c>
      <c r="J21" s="715">
        <v>27.9</v>
      </c>
      <c r="K21" s="715">
        <v>27.9</v>
      </c>
      <c r="L21" s="715">
        <v>27.9</v>
      </c>
      <c r="M21" s="715">
        <v>27.9</v>
      </c>
      <c r="N21" s="715">
        <v>27.9</v>
      </c>
      <c r="O21" s="715">
        <v>27.9</v>
      </c>
      <c r="P21" s="715">
        <v>27.9</v>
      </c>
      <c r="Q21" s="716">
        <v>0</v>
      </c>
      <c r="R21" s="717" t="str">
        <f>IFERROR(VLOOKUP($C21,[23]Nod!$A$3:$E$992,4,FALSE)," ")</f>
        <v>PRO230</v>
      </c>
      <c r="S21" s="717">
        <f>IFERROR(VLOOKUP($C21,[23]Nod!$A$3:$E$992,5,FALSE)," ")</f>
        <v>1</v>
      </c>
      <c r="T21" s="725" t="s">
        <v>146</v>
      </c>
      <c r="U21" s="726"/>
      <c r="V21" s="727"/>
      <c r="W21" s="715">
        <f>+'[24]Resumen Modelo'!G11</f>
        <v>0</v>
      </c>
      <c r="X21" s="715">
        <f>+'[24]Resumen Modelo'!H11</f>
        <v>0</v>
      </c>
      <c r="Y21" s="715">
        <f>+'[24]Resumen Modelo'!I11</f>
        <v>0</v>
      </c>
      <c r="Z21" s="715">
        <f>+'[24]Resumen Modelo'!J11</f>
        <v>0</v>
      </c>
      <c r="AA21" s="715">
        <f>+'[24]Resumen Modelo'!K11</f>
        <v>0</v>
      </c>
      <c r="AB21" s="715">
        <f>+'[24]Resumen Modelo'!L11</f>
        <v>0</v>
      </c>
      <c r="AC21" s="715">
        <f>+'[24]Resumen Modelo'!M11</f>
        <v>0</v>
      </c>
      <c r="AD21" s="715">
        <f>+'[24]Resumen Modelo'!N11</f>
        <v>0</v>
      </c>
      <c r="AE21" s="715">
        <f>+'[24]Resumen Modelo'!O11</f>
        <v>0</v>
      </c>
      <c r="AF21" s="715">
        <f>+'[24]Resumen Modelo'!P11</f>
        <v>0</v>
      </c>
      <c r="AG21" s="715">
        <f>+'[24]Resumen Modelo'!Q11</f>
        <v>0</v>
      </c>
      <c r="AH21" s="715">
        <f>+'[24]Resumen Modelo'!R11</f>
        <v>0</v>
      </c>
      <c r="AI21" s="728"/>
      <c r="AJ21" s="679" t="str">
        <f>IFERROR(VLOOKUP($V21,#REF!,4,FALSE)," ")</f>
        <v xml:space="preserve"> </v>
      </c>
      <c r="AK21" s="729" t="s">
        <v>146</v>
      </c>
      <c r="AL21" s="730"/>
      <c r="AM21" s="731"/>
      <c r="AN21" s="732"/>
    </row>
    <row r="22" spans="1:40" ht="15" customHeight="1">
      <c r="A22" s="712" t="s">
        <v>368</v>
      </c>
      <c r="C22" s="713">
        <v>6014</v>
      </c>
      <c r="D22" s="714">
        <v>9.8946000000000005</v>
      </c>
      <c r="E22" s="715">
        <v>9.8946000000000005</v>
      </c>
      <c r="F22" s="715">
        <v>9.8946000000000005</v>
      </c>
      <c r="G22" s="715">
        <v>9.8946000000000005</v>
      </c>
      <c r="H22" s="715">
        <v>9.8946000000000005</v>
      </c>
      <c r="I22" s="715">
        <v>9.8946000000000005</v>
      </c>
      <c r="J22" s="715">
        <v>9.8946000000000005</v>
      </c>
      <c r="K22" s="715">
        <v>9.8946000000000005</v>
      </c>
      <c r="L22" s="715">
        <v>9.8946000000000005</v>
      </c>
      <c r="M22" s="715">
        <v>9.8946000000000005</v>
      </c>
      <c r="N22" s="715">
        <v>9.8946000000000005</v>
      </c>
      <c r="O22" s="715">
        <v>9.8946000000000005</v>
      </c>
      <c r="P22" s="715">
        <v>9.8946000000000005</v>
      </c>
      <c r="Q22" s="716">
        <v>0</v>
      </c>
      <c r="R22" s="717" t="str">
        <f>IFERROR(VLOOKUP($C22,[23]Nod!$A$3:$E$992,4,FALSE)," ")</f>
        <v>PRO230</v>
      </c>
      <c r="S22" s="717">
        <f>IFERROR(VLOOKUP($C22,[23]Nod!$A$3:$E$992,5,FALSE)," ")</f>
        <v>1</v>
      </c>
      <c r="T22" s="733">
        <v>2</v>
      </c>
      <c r="U22" s="734"/>
      <c r="V22" s="735"/>
      <c r="W22" s="736">
        <f>+'[24]Resumen Modelo'!G12</f>
        <v>0</v>
      </c>
      <c r="X22" s="736">
        <f>+'[24]Resumen Modelo'!H12</f>
        <v>0</v>
      </c>
      <c r="Y22" s="736">
        <f>+'[24]Resumen Modelo'!I12</f>
        <v>0</v>
      </c>
      <c r="Z22" s="736">
        <f>+'[24]Resumen Modelo'!J12</f>
        <v>0</v>
      </c>
      <c r="AA22" s="736">
        <f>+'[24]Resumen Modelo'!K12</f>
        <v>0</v>
      </c>
      <c r="AB22" s="736">
        <f>+'[24]Resumen Modelo'!L12</f>
        <v>0</v>
      </c>
      <c r="AC22" s="736">
        <f>+'[24]Resumen Modelo'!M12</f>
        <v>0</v>
      </c>
      <c r="AD22" s="736">
        <f>+'[24]Resumen Modelo'!N12</f>
        <v>0</v>
      </c>
      <c r="AE22" s="736">
        <f>+'[24]Resumen Modelo'!O12</f>
        <v>0</v>
      </c>
      <c r="AF22" s="736">
        <f>+'[24]Resumen Modelo'!P12</f>
        <v>0</v>
      </c>
      <c r="AG22" s="736">
        <f>+'[24]Resumen Modelo'!Q12</f>
        <v>0</v>
      </c>
      <c r="AH22" s="736">
        <f>+'[24]Resumen Modelo'!R12</f>
        <v>0</v>
      </c>
      <c r="AI22" s="736">
        <f>SUM(AI23)</f>
        <v>0</v>
      </c>
      <c r="AJ22" s="679"/>
      <c r="AK22" s="737">
        <v>2</v>
      </c>
      <c r="AL22" s="738"/>
      <c r="AM22" s="739"/>
      <c r="AN22" s="740">
        <v>0</v>
      </c>
    </row>
    <row r="23" spans="1:40" ht="15" customHeight="1">
      <c r="A23" s="712" t="s">
        <v>369</v>
      </c>
      <c r="C23" s="713">
        <v>6014</v>
      </c>
      <c r="D23" s="714">
        <v>10</v>
      </c>
      <c r="E23" s="715"/>
      <c r="F23" s="715"/>
      <c r="G23" s="715"/>
      <c r="H23" s="715"/>
      <c r="I23" s="715"/>
      <c r="J23" s="715"/>
      <c r="K23" s="715"/>
      <c r="L23" s="715"/>
      <c r="M23" s="715"/>
      <c r="N23" s="715"/>
      <c r="O23" s="715"/>
      <c r="P23" s="715"/>
      <c r="Q23" s="741">
        <v>13</v>
      </c>
      <c r="R23" s="717" t="str">
        <f>IFERROR(VLOOKUP($C23,[23]Nod!$A$3:$E$992,4,FALSE)," ")</f>
        <v>PRO230</v>
      </c>
      <c r="S23" s="717">
        <f>IFERROR(VLOOKUP($C23,[23]Nod!$A$3:$E$992,5,FALSE)," ")</f>
        <v>1</v>
      </c>
      <c r="T23" s="725" t="s">
        <v>146</v>
      </c>
      <c r="U23" s="726"/>
      <c r="V23" s="727"/>
      <c r="W23" s="715">
        <f>+'[24]Resumen Modelo'!G13</f>
        <v>0</v>
      </c>
      <c r="X23" s="715">
        <f>+'[24]Resumen Modelo'!H13</f>
        <v>0</v>
      </c>
      <c r="Y23" s="715">
        <f>+'[24]Resumen Modelo'!I13</f>
        <v>0</v>
      </c>
      <c r="Z23" s="715">
        <f>+'[24]Resumen Modelo'!J13</f>
        <v>0</v>
      </c>
      <c r="AA23" s="715">
        <f>+'[24]Resumen Modelo'!K13</f>
        <v>0</v>
      </c>
      <c r="AB23" s="715">
        <f>+'[24]Resumen Modelo'!L13</f>
        <v>0</v>
      </c>
      <c r="AC23" s="715">
        <f>+'[24]Resumen Modelo'!M13</f>
        <v>0</v>
      </c>
      <c r="AD23" s="715">
        <f>+'[24]Resumen Modelo'!N13</f>
        <v>0</v>
      </c>
      <c r="AE23" s="715">
        <f>+'[24]Resumen Modelo'!O13</f>
        <v>0</v>
      </c>
      <c r="AF23" s="715">
        <f>+'[24]Resumen Modelo'!P13</f>
        <v>0</v>
      </c>
      <c r="AG23" s="715">
        <f>+'[24]Resumen Modelo'!Q13</f>
        <v>0</v>
      </c>
      <c r="AH23" s="715">
        <f>+'[24]Resumen Modelo'!R13</f>
        <v>0</v>
      </c>
      <c r="AI23" s="728"/>
      <c r="AJ23" s="679" t="str">
        <f>IFERROR(VLOOKUP($V22,#REF!,4,FALSE)," ")</f>
        <v xml:space="preserve"> </v>
      </c>
      <c r="AK23" s="729" t="s">
        <v>146</v>
      </c>
      <c r="AL23" s="730"/>
      <c r="AM23" s="731"/>
      <c r="AN23" s="732"/>
    </row>
    <row r="24" spans="1:40" ht="15" customHeight="1">
      <c r="A24" s="712" t="s">
        <v>370</v>
      </c>
      <c r="C24" s="713">
        <v>6014</v>
      </c>
      <c r="D24" s="714">
        <v>6</v>
      </c>
      <c r="E24" s="715"/>
      <c r="F24" s="715"/>
      <c r="G24" s="715"/>
      <c r="H24" s="715"/>
      <c r="I24" s="715"/>
      <c r="J24" s="715"/>
      <c r="K24" s="715"/>
      <c r="L24" s="715"/>
      <c r="M24" s="715"/>
      <c r="N24" s="715"/>
      <c r="O24" s="715"/>
      <c r="P24" s="715"/>
      <c r="Q24" s="741">
        <v>13</v>
      </c>
      <c r="R24" s="717" t="str">
        <f>IFERROR(VLOOKUP($C24,[23]Nod!$A$3:$E$992,4,FALSE)," ")</f>
        <v>PRO230</v>
      </c>
      <c r="S24" s="717">
        <f>IFERROR(VLOOKUP($C24,[23]Nod!$A$3:$E$992,5,FALSE)," ")</f>
        <v>1</v>
      </c>
      <c r="T24" s="707">
        <v>3</v>
      </c>
      <c r="U24" s="703"/>
      <c r="V24" s="704"/>
      <c r="W24" s="742">
        <f>SUM(W25:W27)</f>
        <v>0.06</v>
      </c>
      <c r="X24" s="736">
        <f>+'[24]Resumen Modelo'!H14</f>
        <v>0.1</v>
      </c>
      <c r="Y24" s="736">
        <f>+'[24]Resumen Modelo'!I14</f>
        <v>0.09</v>
      </c>
      <c r="Z24" s="736">
        <f>+'[24]Resumen Modelo'!J14</f>
        <v>0.1</v>
      </c>
      <c r="AA24" s="736">
        <f>+'[24]Resumen Modelo'!K14</f>
        <v>0.06</v>
      </c>
      <c r="AB24" s="736">
        <f>+'[24]Resumen Modelo'!L14</f>
        <v>0.06</v>
      </c>
      <c r="AC24" s="736">
        <f>+'[24]Resumen Modelo'!M14</f>
        <v>0.09</v>
      </c>
      <c r="AD24" s="736">
        <f>+'[24]Resumen Modelo'!N14</f>
        <v>0.1</v>
      </c>
      <c r="AE24" s="736">
        <f>+'[24]Resumen Modelo'!O14</f>
        <v>0.06</v>
      </c>
      <c r="AF24" s="736">
        <f>+'[24]Resumen Modelo'!P14</f>
        <v>0.1</v>
      </c>
      <c r="AG24" s="736">
        <f>+'[24]Resumen Modelo'!Q14</f>
        <v>0.09</v>
      </c>
      <c r="AH24" s="736">
        <f>+'[24]Resumen Modelo'!R14</f>
        <v>0.09</v>
      </c>
      <c r="AI24" s="705">
        <f>SUM(AI25:AI27)</f>
        <v>0.1</v>
      </c>
      <c r="AJ24" s="679" t="str">
        <f>IFERROR(VLOOKUP($V23,#REF!,4,FALSE)," ")</f>
        <v xml:space="preserve"> </v>
      </c>
      <c r="AK24" s="708">
        <v>3</v>
      </c>
      <c r="AL24" s="709"/>
      <c r="AM24" s="710"/>
      <c r="AN24" s="711">
        <v>0.11</v>
      </c>
    </row>
    <row r="25" spans="1:40" ht="13.5">
      <c r="A25" s="743" t="s">
        <v>371</v>
      </c>
      <c r="C25" s="713">
        <v>6014</v>
      </c>
      <c r="D25" s="714">
        <v>10</v>
      </c>
      <c r="E25" s="715"/>
      <c r="F25" s="715"/>
      <c r="G25" s="715"/>
      <c r="H25" s="715"/>
      <c r="I25" s="715"/>
      <c r="J25" s="715"/>
      <c r="K25" s="715"/>
      <c r="L25" s="715"/>
      <c r="M25" s="715"/>
      <c r="N25" s="715"/>
      <c r="O25" s="715"/>
      <c r="P25" s="715"/>
      <c r="Q25" s="741"/>
      <c r="R25" s="717" t="str">
        <f>IFERROR(VLOOKUP($C25,[23]Nod!$A$3:$E$992,4,FALSE)," ")</f>
        <v>PRO230</v>
      </c>
      <c r="S25" s="717">
        <f>IFERROR(VLOOKUP($C25,[23]Nod!$A$3:$E$992,5,FALSE)," ")</f>
        <v>1</v>
      </c>
      <c r="T25" s="718" t="s">
        <v>87</v>
      </c>
      <c r="V25" s="713"/>
      <c r="W25" s="715">
        <f>+'[24]Resumen Modelo'!G15</f>
        <v>0</v>
      </c>
      <c r="X25" s="715">
        <f>+'[24]Resumen Modelo'!H15</f>
        <v>0</v>
      </c>
      <c r="Y25" s="715">
        <f>+'[24]Resumen Modelo'!I15</f>
        <v>0</v>
      </c>
      <c r="Z25" s="715">
        <f>+'[24]Resumen Modelo'!J15</f>
        <v>0</v>
      </c>
      <c r="AA25" s="715">
        <f>+'[24]Resumen Modelo'!K15</f>
        <v>0</v>
      </c>
      <c r="AB25" s="715">
        <f>+'[24]Resumen Modelo'!L15</f>
        <v>0</v>
      </c>
      <c r="AC25" s="715">
        <f>+'[24]Resumen Modelo'!M15</f>
        <v>0</v>
      </c>
      <c r="AD25" s="715">
        <f>+'[24]Resumen Modelo'!N15</f>
        <v>0</v>
      </c>
      <c r="AE25" s="715">
        <f>+'[24]Resumen Modelo'!O15</f>
        <v>0</v>
      </c>
      <c r="AF25" s="715">
        <f>+'[24]Resumen Modelo'!P15</f>
        <v>0</v>
      </c>
      <c r="AG25" s="715">
        <f>+'[24]Resumen Modelo'!Q15</f>
        <v>0</v>
      </c>
      <c r="AH25" s="715">
        <f>+'[24]Resumen Modelo'!R15</f>
        <v>0</v>
      </c>
      <c r="AI25" s="715"/>
      <c r="AJ25" s="679"/>
      <c r="AK25" s="708"/>
      <c r="AL25" s="709"/>
      <c r="AM25" s="710"/>
      <c r="AN25" s="711"/>
    </row>
    <row r="26" spans="1:40" ht="13.5">
      <c r="A26" s="743" t="s">
        <v>372</v>
      </c>
      <c r="C26" s="713">
        <v>6014</v>
      </c>
      <c r="D26" s="714">
        <v>10</v>
      </c>
      <c r="E26" s="715"/>
      <c r="F26" s="715"/>
      <c r="G26" s="715"/>
      <c r="H26" s="715"/>
      <c r="I26" s="715"/>
      <c r="J26" s="715"/>
      <c r="K26" s="715"/>
      <c r="L26" s="715"/>
      <c r="M26" s="715"/>
      <c r="N26" s="715"/>
      <c r="O26" s="715"/>
      <c r="P26" s="715"/>
      <c r="Q26" s="741"/>
      <c r="R26" s="717" t="str">
        <f>IFERROR(VLOOKUP($C26,[23]Nod!$A$3:$E$992,4,FALSE)," ")</f>
        <v>PRO230</v>
      </c>
      <c r="S26" s="717">
        <f>IFERROR(VLOOKUP($C26,[23]Nod!$A$3:$E$992,5,FALSE)," ")</f>
        <v>1</v>
      </c>
      <c r="T26" s="723" t="s">
        <v>88</v>
      </c>
      <c r="V26" s="713">
        <v>6087</v>
      </c>
      <c r="W26" s="715">
        <f>+'[24]Resumen Modelo'!G16</f>
        <v>0.06</v>
      </c>
      <c r="X26" s="715">
        <f>+'[24]Resumen Modelo'!H16</f>
        <v>0.1</v>
      </c>
      <c r="Y26" s="715">
        <f>+'[24]Resumen Modelo'!I16</f>
        <v>0.09</v>
      </c>
      <c r="Z26" s="715">
        <f>+'[24]Resumen Modelo'!J16</f>
        <v>0.1</v>
      </c>
      <c r="AA26" s="715">
        <f>+'[24]Resumen Modelo'!K16</f>
        <v>0.06</v>
      </c>
      <c r="AB26" s="715">
        <f>+'[24]Resumen Modelo'!L16</f>
        <v>0.06</v>
      </c>
      <c r="AC26" s="715">
        <f>+'[24]Resumen Modelo'!M16</f>
        <v>0.09</v>
      </c>
      <c r="AD26" s="715">
        <f>+'[24]Resumen Modelo'!N16</f>
        <v>0.1</v>
      </c>
      <c r="AE26" s="715">
        <f>+'[24]Resumen Modelo'!O16</f>
        <v>0.06</v>
      </c>
      <c r="AF26" s="715">
        <f>+'[24]Resumen Modelo'!P16</f>
        <v>0.1</v>
      </c>
      <c r="AG26" s="715">
        <f>+'[24]Resumen Modelo'!Q16</f>
        <v>0.09</v>
      </c>
      <c r="AH26" s="715">
        <f>+'[24]Resumen Modelo'!R16</f>
        <v>0.09</v>
      </c>
      <c r="AI26" s="715">
        <f>+MAX(W26:AH26)</f>
        <v>0.1</v>
      </c>
      <c r="AJ26" s="679"/>
      <c r="AK26" s="719" t="s">
        <v>87</v>
      </c>
      <c r="AL26" s="720"/>
      <c r="AM26" s="721"/>
      <c r="AN26" s="722"/>
    </row>
    <row r="27" spans="1:40" ht="15" customHeight="1">
      <c r="A27" s="712" t="s">
        <v>373</v>
      </c>
      <c r="C27" s="713">
        <v>6014</v>
      </c>
      <c r="D27" s="714">
        <v>20</v>
      </c>
      <c r="E27" s="715"/>
      <c r="F27" s="715"/>
      <c r="G27" s="715"/>
      <c r="H27" s="715"/>
      <c r="I27" s="715"/>
      <c r="J27" s="715"/>
      <c r="K27" s="715"/>
      <c r="L27" s="715"/>
      <c r="M27" s="715"/>
      <c r="N27" s="715"/>
      <c r="O27" s="715"/>
      <c r="P27" s="715"/>
      <c r="Q27" s="741"/>
      <c r="R27" s="717" t="str">
        <f>IFERROR(VLOOKUP($C27,[23]Nod!$A$3:$E$992,4,FALSE)," ")</f>
        <v>PRO230</v>
      </c>
      <c r="S27" s="717">
        <f>IFERROR(VLOOKUP($C27,[23]Nod!$A$3:$E$992,5,FALSE)," ")</f>
        <v>1</v>
      </c>
      <c r="T27" s="744" t="s">
        <v>146</v>
      </c>
      <c r="V27" s="713"/>
      <c r="W27" s="715">
        <f>+'[24]Resumen Modelo'!G17</f>
        <v>0</v>
      </c>
      <c r="X27" s="715">
        <f>+'[24]Resumen Modelo'!H17</f>
        <v>0</v>
      </c>
      <c r="Y27" s="715">
        <f>+'[24]Resumen Modelo'!I17</f>
        <v>0</v>
      </c>
      <c r="Z27" s="715">
        <f>+'[24]Resumen Modelo'!J17</f>
        <v>0</v>
      </c>
      <c r="AA27" s="715">
        <f>+'[24]Resumen Modelo'!K17</f>
        <v>0</v>
      </c>
      <c r="AB27" s="715">
        <f>+'[24]Resumen Modelo'!L17</f>
        <v>0</v>
      </c>
      <c r="AC27" s="715">
        <f>+'[24]Resumen Modelo'!M17</f>
        <v>0</v>
      </c>
      <c r="AD27" s="715">
        <f>+'[24]Resumen Modelo'!N17</f>
        <v>0</v>
      </c>
      <c r="AE27" s="715">
        <f>+'[24]Resumen Modelo'!O17</f>
        <v>0</v>
      </c>
      <c r="AF27" s="715">
        <f>+'[24]Resumen Modelo'!P17</f>
        <v>0</v>
      </c>
      <c r="AG27" s="715">
        <f>+'[24]Resumen Modelo'!Q17</f>
        <v>0</v>
      </c>
      <c r="AH27" s="715">
        <f>+'[24]Resumen Modelo'!R17</f>
        <v>0</v>
      </c>
      <c r="AI27" s="715"/>
      <c r="AJ27" s="679"/>
      <c r="AK27" s="719"/>
      <c r="AL27" s="720"/>
      <c r="AM27" s="721"/>
      <c r="AN27" s="722"/>
    </row>
    <row r="28" spans="1:40" ht="15" customHeight="1">
      <c r="A28" s="712" t="s">
        <v>374</v>
      </c>
      <c r="B28" s="712"/>
      <c r="C28" s="713">
        <v>6014</v>
      </c>
      <c r="D28" s="714">
        <v>25.9</v>
      </c>
      <c r="E28" s="745"/>
      <c r="F28" s="745"/>
      <c r="G28" s="745"/>
      <c r="H28" s="745"/>
      <c r="I28" s="745"/>
      <c r="J28" s="745"/>
      <c r="K28" s="745"/>
      <c r="L28" s="745"/>
      <c r="M28" s="745"/>
      <c r="N28" s="745"/>
      <c r="O28" s="745"/>
      <c r="P28" s="745"/>
      <c r="Q28" s="746">
        <v>0</v>
      </c>
      <c r="R28" s="717" t="str">
        <f>IFERROR(VLOOKUP($C28,[23]Nod!$A$3:$E$992,4,FALSE)," ")</f>
        <v>PRO230</v>
      </c>
      <c r="S28" s="717">
        <f>IFERROR(VLOOKUP($C28,[23]Nod!$A$3:$E$992,5,FALSE)," ")</f>
        <v>1</v>
      </c>
      <c r="T28" s="747">
        <v>4</v>
      </c>
      <c r="U28" s="734"/>
      <c r="V28" s="735"/>
      <c r="W28" s="736">
        <f>SUM(W29:W32)</f>
        <v>106.53</v>
      </c>
      <c r="X28" s="736">
        <f>+'[24]Resumen Modelo'!H18</f>
        <v>115.74</v>
      </c>
      <c r="Y28" s="736">
        <f>+'[24]Resumen Modelo'!I18</f>
        <v>111.65</v>
      </c>
      <c r="Z28" s="736">
        <f>+'[24]Resumen Modelo'!J18</f>
        <v>114.88</v>
      </c>
      <c r="AA28" s="736">
        <f>+'[24]Resumen Modelo'!K18</f>
        <v>112.52</v>
      </c>
      <c r="AB28" s="736">
        <f>+'[24]Resumen Modelo'!L18</f>
        <v>107.92</v>
      </c>
      <c r="AC28" s="736">
        <f>+'[24]Resumen Modelo'!M18</f>
        <v>101.83</v>
      </c>
      <c r="AD28" s="736">
        <f>+'[24]Resumen Modelo'!N18</f>
        <v>103.17</v>
      </c>
      <c r="AE28" s="736">
        <f>+'[24]Resumen Modelo'!O18</f>
        <v>122.86</v>
      </c>
      <c r="AF28" s="736">
        <f>+'[24]Resumen Modelo'!P18</f>
        <v>121.6</v>
      </c>
      <c r="AG28" s="736">
        <f>+'[24]Resumen Modelo'!Q18</f>
        <v>112.16</v>
      </c>
      <c r="AH28" s="736">
        <f>+'[24]Resumen Modelo'!R18</f>
        <v>103.78</v>
      </c>
      <c r="AI28" s="736">
        <f>SUM(AI29:AI32)</f>
        <v>122.86</v>
      </c>
      <c r="AJ28" s="679" t="str">
        <f>IFERROR(VLOOKUP($V24,#REF!,4,FALSE)," ")</f>
        <v xml:space="preserve"> </v>
      </c>
      <c r="AK28" s="719"/>
      <c r="AL28" s="720"/>
      <c r="AM28" s="721"/>
      <c r="AN28" s="722"/>
    </row>
    <row r="29" spans="1:40" ht="15" customHeight="1">
      <c r="A29" s="712" t="s">
        <v>375</v>
      </c>
      <c r="B29" s="712"/>
      <c r="C29" s="713">
        <v>6014</v>
      </c>
      <c r="D29" s="714">
        <v>5</v>
      </c>
      <c r="E29" s="745"/>
      <c r="F29" s="745"/>
      <c r="G29" s="745"/>
      <c r="H29" s="745"/>
      <c r="I29" s="745"/>
      <c r="J29" s="745"/>
      <c r="K29" s="745"/>
      <c r="L29" s="745"/>
      <c r="M29" s="745"/>
      <c r="N29" s="745"/>
      <c r="O29" s="745"/>
      <c r="P29" s="745"/>
      <c r="Q29" s="746">
        <v>0</v>
      </c>
      <c r="R29" s="717" t="str">
        <f>IFERROR(VLOOKUP($C29,[23]Nod!$A$3:$E$992,4,FALSE)," ")</f>
        <v>PRO230</v>
      </c>
      <c r="S29" s="717">
        <f>IFERROR(VLOOKUP($C29,[23]Nod!$A$3:$E$992,5,FALSE)," ")</f>
        <v>1</v>
      </c>
      <c r="T29" s="718" t="s">
        <v>87</v>
      </c>
      <c r="V29" s="713"/>
      <c r="W29" s="715">
        <f>+'[24]Resumen Modelo'!G19</f>
        <v>0</v>
      </c>
      <c r="X29" s="715">
        <f>+'[24]Resumen Modelo'!H19</f>
        <v>0</v>
      </c>
      <c r="Y29" s="715">
        <f>+'[24]Resumen Modelo'!I19</f>
        <v>0</v>
      </c>
      <c r="Z29" s="715">
        <f>+'[24]Resumen Modelo'!J19</f>
        <v>0</v>
      </c>
      <c r="AA29" s="715">
        <f>+'[24]Resumen Modelo'!K19</f>
        <v>0</v>
      </c>
      <c r="AB29" s="715">
        <f>+'[24]Resumen Modelo'!L19</f>
        <v>0</v>
      </c>
      <c r="AC29" s="715">
        <f>+'[24]Resumen Modelo'!M19</f>
        <v>0</v>
      </c>
      <c r="AD29" s="715">
        <f>+'[24]Resumen Modelo'!N19</f>
        <v>0</v>
      </c>
      <c r="AE29" s="715">
        <f>+'[24]Resumen Modelo'!O19</f>
        <v>0</v>
      </c>
      <c r="AF29" s="715">
        <f>+'[24]Resumen Modelo'!P19</f>
        <v>0</v>
      </c>
      <c r="AG29" s="715">
        <f>+'[24]Resumen Modelo'!Q19</f>
        <v>0</v>
      </c>
      <c r="AH29" s="715">
        <f>+'[24]Resumen Modelo'!R19</f>
        <v>0</v>
      </c>
      <c r="AI29" s="715"/>
      <c r="AJ29" s="679" t="str">
        <f>IFERROR(VLOOKUP($V25,#REF!,4,FALSE)," ")</f>
        <v xml:space="preserve"> </v>
      </c>
      <c r="AK29" s="724" t="s">
        <v>88</v>
      </c>
      <c r="AL29" s="720"/>
      <c r="AM29" s="721">
        <v>6087</v>
      </c>
      <c r="AN29" s="722">
        <v>0.11</v>
      </c>
    </row>
    <row r="30" spans="1:40" ht="15" customHeight="1">
      <c r="A30" s="712" t="s">
        <v>376</v>
      </c>
      <c r="B30" s="712"/>
      <c r="C30" s="713">
        <v>6014</v>
      </c>
      <c r="D30" s="714"/>
      <c r="E30" s="745"/>
      <c r="F30" s="745"/>
      <c r="G30" s="745"/>
      <c r="H30" s="745"/>
      <c r="I30" s="745"/>
      <c r="J30" s="745"/>
      <c r="K30" s="745"/>
      <c r="L30" s="745"/>
      <c r="M30" s="745"/>
      <c r="N30" s="745"/>
      <c r="O30" s="745"/>
      <c r="P30" s="745"/>
      <c r="Q30" s="745"/>
      <c r="R30" s="717" t="str">
        <f>IFERROR(VLOOKUP($C30,[23]Nod!$A$3:$E$992,4,FALSE)," ")</f>
        <v>PRO230</v>
      </c>
      <c r="S30" s="717">
        <f>IFERROR(VLOOKUP($C30,[23]Nod!$A$3:$E$992,5,FALSE)," ")</f>
        <v>1</v>
      </c>
      <c r="T30" s="723" t="s">
        <v>148</v>
      </c>
      <c r="V30" s="713">
        <v>6013</v>
      </c>
      <c r="W30" s="715">
        <f>+'[24]Resumen Modelo'!G20</f>
        <v>0</v>
      </c>
      <c r="X30" s="715">
        <f>+'[24]Resumen Modelo'!H20</f>
        <v>0</v>
      </c>
      <c r="Y30" s="715">
        <f>+'[24]Resumen Modelo'!I20</f>
        <v>0</v>
      </c>
      <c r="Z30" s="715">
        <f>+'[24]Resumen Modelo'!J20</f>
        <v>0</v>
      </c>
      <c r="AA30" s="715">
        <f>+'[24]Resumen Modelo'!K20</f>
        <v>0</v>
      </c>
      <c r="AB30" s="715">
        <f>+'[24]Resumen Modelo'!L20</f>
        <v>0</v>
      </c>
      <c r="AC30" s="715">
        <f>+'[24]Resumen Modelo'!M20</f>
        <v>0</v>
      </c>
      <c r="AD30" s="715">
        <f>+'[24]Resumen Modelo'!N20</f>
        <v>0</v>
      </c>
      <c r="AE30" s="715">
        <f>+'[24]Resumen Modelo'!O20</f>
        <v>0</v>
      </c>
      <c r="AF30" s="715">
        <f>+'[24]Resumen Modelo'!P20</f>
        <v>0</v>
      </c>
      <c r="AG30" s="715">
        <f>+'[24]Resumen Modelo'!Q20</f>
        <v>0</v>
      </c>
      <c r="AH30" s="715">
        <f>+'[24]Resumen Modelo'!R20</f>
        <v>0</v>
      </c>
      <c r="AI30" s="715">
        <f>+MAX(W30:AH30)</f>
        <v>0</v>
      </c>
      <c r="AJ30" s="679" t="str">
        <f>IFERROR(VLOOKUP($V26,#REF!,4,FALSE)," ")</f>
        <v xml:space="preserve"> </v>
      </c>
      <c r="AK30" s="748" t="s">
        <v>146</v>
      </c>
      <c r="AL30" s="720"/>
      <c r="AM30" s="721"/>
      <c r="AN30" s="722"/>
    </row>
    <row r="31" spans="1:40" ht="15" customHeight="1">
      <c r="A31" s="712" t="s">
        <v>377</v>
      </c>
      <c r="B31" s="712"/>
      <c r="C31" s="713">
        <v>6014</v>
      </c>
      <c r="D31" s="714"/>
      <c r="E31" s="745"/>
      <c r="F31" s="745"/>
      <c r="G31" s="745"/>
      <c r="H31" s="745"/>
      <c r="I31" s="745"/>
      <c r="J31" s="745"/>
      <c r="K31" s="745"/>
      <c r="L31" s="745"/>
      <c r="M31" s="745"/>
      <c r="N31" s="745"/>
      <c r="O31" s="745"/>
      <c r="P31" s="745"/>
      <c r="Q31" s="745"/>
      <c r="R31" s="717" t="str">
        <f>IFERROR(VLOOKUP($C31,[23]Nod!$A$3:$E$992,4,FALSE)," ")</f>
        <v>PRO230</v>
      </c>
      <c r="S31" s="717">
        <f>IFERROR(VLOOKUP($C31,[23]Nod!$A$3:$E$992,5,FALSE)," ")</f>
        <v>1</v>
      </c>
      <c r="T31" s="723" t="s">
        <v>378</v>
      </c>
      <c r="V31" s="713">
        <v>6013</v>
      </c>
      <c r="W31" s="715">
        <f>+'[24]Resumen Modelo'!G21</f>
        <v>106.53</v>
      </c>
      <c r="X31" s="715">
        <f>+'[24]Resumen Modelo'!H21</f>
        <v>115.74</v>
      </c>
      <c r="Y31" s="715">
        <f>+'[24]Resumen Modelo'!I21</f>
        <v>111.65</v>
      </c>
      <c r="Z31" s="715">
        <f>+'[24]Resumen Modelo'!J21</f>
        <v>114.88</v>
      </c>
      <c r="AA31" s="715">
        <f>+'[24]Resumen Modelo'!K21</f>
        <v>112.52</v>
      </c>
      <c r="AB31" s="715">
        <f>+'[24]Resumen Modelo'!L21</f>
        <v>107.92</v>
      </c>
      <c r="AC31" s="715">
        <f>+'[24]Resumen Modelo'!M21</f>
        <v>101.83</v>
      </c>
      <c r="AD31" s="715">
        <f>+'[24]Resumen Modelo'!N21</f>
        <v>103.17</v>
      </c>
      <c r="AE31" s="715">
        <f>+'[24]Resumen Modelo'!O21</f>
        <v>122.86</v>
      </c>
      <c r="AF31" s="715">
        <f>+'[24]Resumen Modelo'!P21</f>
        <v>121.6</v>
      </c>
      <c r="AG31" s="715">
        <f>+'[24]Resumen Modelo'!Q21</f>
        <v>112.16</v>
      </c>
      <c r="AH31" s="715">
        <f>+'[24]Resumen Modelo'!R21</f>
        <v>103.78</v>
      </c>
      <c r="AI31" s="715">
        <f>+MAX(W31:AH31)</f>
        <v>122.86</v>
      </c>
      <c r="AJ31" s="679" t="str">
        <f>IFERROR(VLOOKUP($V27,#REF!,4,FALSE)," ")</f>
        <v xml:space="preserve"> </v>
      </c>
      <c r="AK31" s="737">
        <v>4</v>
      </c>
      <c r="AL31" s="738"/>
      <c r="AM31" s="739"/>
      <c r="AN31" s="740">
        <v>114.53</v>
      </c>
    </row>
    <row r="32" spans="1:40" ht="15" customHeight="1">
      <c r="A32" s="712" t="s">
        <v>379</v>
      </c>
      <c r="B32" s="712"/>
      <c r="C32" s="713">
        <v>6014</v>
      </c>
      <c r="D32" s="714"/>
      <c r="E32" s="745"/>
      <c r="F32" s="745"/>
      <c r="G32" s="745"/>
      <c r="H32" s="745"/>
      <c r="I32" s="745"/>
      <c r="J32" s="745"/>
      <c r="K32" s="745"/>
      <c r="L32" s="745"/>
      <c r="M32" s="745"/>
      <c r="N32" s="745"/>
      <c r="O32" s="745"/>
      <c r="P32" s="745"/>
      <c r="Q32" s="745"/>
      <c r="R32" s="717" t="str">
        <f>IFERROR(VLOOKUP($C32,[23]Nod!$A$3:$E$992,4,FALSE)," ")</f>
        <v>PRO230</v>
      </c>
      <c r="S32" s="717">
        <f>IFERROR(VLOOKUP($C32,[23]Nod!$A$3:$E$992,5,FALSE)," ")</f>
        <v>1</v>
      </c>
      <c r="T32" s="725" t="s">
        <v>146</v>
      </c>
      <c r="U32" s="726"/>
      <c r="V32" s="727"/>
      <c r="W32" s="715">
        <f>+'[24]Resumen Modelo'!G22</f>
        <v>0</v>
      </c>
      <c r="X32" s="715">
        <f>+'[24]Resumen Modelo'!H22</f>
        <v>0</v>
      </c>
      <c r="Y32" s="715">
        <f>+'[24]Resumen Modelo'!I22</f>
        <v>0</v>
      </c>
      <c r="Z32" s="715">
        <f>+'[24]Resumen Modelo'!J22</f>
        <v>0</v>
      </c>
      <c r="AA32" s="715">
        <f>+'[24]Resumen Modelo'!K22</f>
        <v>0</v>
      </c>
      <c r="AB32" s="715">
        <f>+'[24]Resumen Modelo'!L22</f>
        <v>0</v>
      </c>
      <c r="AC32" s="715">
        <f>+'[24]Resumen Modelo'!M22</f>
        <v>0</v>
      </c>
      <c r="AD32" s="715">
        <f>+'[24]Resumen Modelo'!N22</f>
        <v>0</v>
      </c>
      <c r="AE32" s="715">
        <f>+'[24]Resumen Modelo'!O22</f>
        <v>0</v>
      </c>
      <c r="AF32" s="715">
        <f>+'[24]Resumen Modelo'!P22</f>
        <v>0</v>
      </c>
      <c r="AG32" s="715">
        <f>+'[24]Resumen Modelo'!Q22</f>
        <v>0</v>
      </c>
      <c r="AH32" s="715">
        <f>+'[24]Resumen Modelo'!R22</f>
        <v>0</v>
      </c>
      <c r="AI32" s="728"/>
      <c r="AJ32" s="679" t="str">
        <f>IFERROR(VLOOKUP($V28,#REF!,4,FALSE)," ")</f>
        <v xml:space="preserve"> </v>
      </c>
      <c r="AK32" s="719" t="s">
        <v>87</v>
      </c>
      <c r="AL32" s="720"/>
      <c r="AM32" s="721"/>
      <c r="AN32" s="722"/>
    </row>
    <row r="33" spans="1:40" ht="15" customHeight="1">
      <c r="A33" s="712" t="s">
        <v>380</v>
      </c>
      <c r="B33" s="712"/>
      <c r="C33" s="713">
        <v>6014</v>
      </c>
      <c r="D33" s="714"/>
      <c r="E33" s="745"/>
      <c r="F33" s="745"/>
      <c r="G33" s="745"/>
      <c r="H33" s="745"/>
      <c r="I33" s="745"/>
      <c r="J33" s="745"/>
      <c r="K33" s="745"/>
      <c r="L33" s="745"/>
      <c r="M33" s="745"/>
      <c r="N33" s="745"/>
      <c r="O33" s="745"/>
      <c r="P33" s="745"/>
      <c r="Q33" s="745"/>
      <c r="R33" s="717" t="str">
        <f>IFERROR(VLOOKUP($C33,[23]Nod!$A$3:$E$992,4,FALSE)," ")</f>
        <v>PRO230</v>
      </c>
      <c r="S33" s="717">
        <f>IFERROR(VLOOKUP($C33,[23]Nod!$A$3:$E$992,5,FALSE)," ")</f>
        <v>1</v>
      </c>
      <c r="T33" s="749">
        <v>5</v>
      </c>
      <c r="U33" s="703"/>
      <c r="V33" s="704"/>
      <c r="W33" s="742">
        <f>SUM(W34:W42)</f>
        <v>443.29999999999995</v>
      </c>
      <c r="X33" s="742">
        <f>+'[24]Resumen Modelo'!H23</f>
        <v>417.63</v>
      </c>
      <c r="Y33" s="742">
        <f>+'[24]Resumen Modelo'!I23</f>
        <v>368.07</v>
      </c>
      <c r="Z33" s="742">
        <f>+'[24]Resumen Modelo'!J23</f>
        <v>313.58000000000004</v>
      </c>
      <c r="AA33" s="742">
        <f>+'[24]Resumen Modelo'!K23</f>
        <v>431.88</v>
      </c>
      <c r="AB33" s="742">
        <f>+'[24]Resumen Modelo'!L23</f>
        <v>562.75</v>
      </c>
      <c r="AC33" s="742">
        <f>+'[24]Resumen Modelo'!M23</f>
        <v>444.62</v>
      </c>
      <c r="AD33" s="742">
        <f>+'[24]Resumen Modelo'!N23</f>
        <v>445.64</v>
      </c>
      <c r="AE33" s="742">
        <f>+'[24]Resumen Modelo'!O23</f>
        <v>506.90999999999997</v>
      </c>
      <c r="AF33" s="742">
        <f>+'[24]Resumen Modelo'!P23</f>
        <v>466.95</v>
      </c>
      <c r="AG33" s="742">
        <f>+'[24]Resumen Modelo'!Q23</f>
        <v>360.34</v>
      </c>
      <c r="AH33" s="742">
        <f>+'[24]Resumen Modelo'!R23</f>
        <v>383.80999999999995</v>
      </c>
      <c r="AI33" s="742">
        <f>SUM(AI34:AI42)</f>
        <v>566.55999999999995</v>
      </c>
      <c r="AJ33" s="679" t="str">
        <f>IFERROR(VLOOKUP($V29,#REF!,4,FALSE)," ")</f>
        <v xml:space="preserve"> </v>
      </c>
      <c r="AK33" s="724" t="s">
        <v>381</v>
      </c>
      <c r="AL33" s="720"/>
      <c r="AM33" s="721">
        <v>6013</v>
      </c>
      <c r="AN33" s="722">
        <v>12.88</v>
      </c>
    </row>
    <row r="34" spans="1:40" ht="15" customHeight="1">
      <c r="A34" s="712" t="s">
        <v>382</v>
      </c>
      <c r="B34" s="712"/>
      <c r="C34" s="713">
        <v>6014</v>
      </c>
      <c r="D34" s="714"/>
      <c r="E34" s="745"/>
      <c r="F34" s="745"/>
      <c r="G34" s="745"/>
      <c r="H34" s="745"/>
      <c r="I34" s="745"/>
      <c r="J34" s="745"/>
      <c r="K34" s="745"/>
      <c r="L34" s="745"/>
      <c r="M34" s="745"/>
      <c r="N34" s="745"/>
      <c r="O34" s="745"/>
      <c r="P34" s="745"/>
      <c r="Q34" s="745"/>
      <c r="R34" s="717" t="str">
        <f>IFERROR(VLOOKUP($C34,[23]Nod!$A$3:$E$992,4,FALSE)," ")</f>
        <v>PRO230</v>
      </c>
      <c r="S34" s="717">
        <f>IFERROR(VLOOKUP($C34,[23]Nod!$A$3:$E$992,5,FALSE)," ")</f>
        <v>1</v>
      </c>
      <c r="T34" s="718" t="s">
        <v>151</v>
      </c>
      <c r="V34" s="713"/>
      <c r="W34" s="715">
        <f>+'[24]Resumen Modelo'!G24</f>
        <v>0</v>
      </c>
      <c r="X34" s="715">
        <f>+'[24]Resumen Modelo'!H24</f>
        <v>0</v>
      </c>
      <c r="Y34" s="715">
        <f>+'[24]Resumen Modelo'!I24</f>
        <v>0</v>
      </c>
      <c r="Z34" s="715">
        <f>+'[24]Resumen Modelo'!J24</f>
        <v>0</v>
      </c>
      <c r="AA34" s="715">
        <f>+'[24]Resumen Modelo'!K24</f>
        <v>0</v>
      </c>
      <c r="AB34" s="715">
        <f>+'[24]Resumen Modelo'!L24</f>
        <v>0</v>
      </c>
      <c r="AC34" s="715">
        <f>+'[24]Resumen Modelo'!M24</f>
        <v>0</v>
      </c>
      <c r="AD34" s="715">
        <f>+'[24]Resumen Modelo'!N24</f>
        <v>0</v>
      </c>
      <c r="AE34" s="715">
        <f>+'[24]Resumen Modelo'!O24</f>
        <v>0</v>
      </c>
      <c r="AF34" s="715">
        <f>+'[24]Resumen Modelo'!P24</f>
        <v>0</v>
      </c>
      <c r="AG34" s="715">
        <f>+'[24]Resumen Modelo'!Q24</f>
        <v>0</v>
      </c>
      <c r="AH34" s="715">
        <f>+'[24]Resumen Modelo'!R24</f>
        <v>0</v>
      </c>
      <c r="AI34" s="750"/>
      <c r="AJ34" s="679" t="str">
        <f>IFERROR(VLOOKUP(#REF!,#REF!,4,FALSE)," ")</f>
        <v xml:space="preserve"> </v>
      </c>
      <c r="AK34" s="724" t="s">
        <v>383</v>
      </c>
      <c r="AL34" s="720"/>
      <c r="AM34" s="721">
        <v>6013</v>
      </c>
      <c r="AN34" s="722">
        <v>101.65</v>
      </c>
    </row>
    <row r="35" spans="1:40" ht="15" customHeight="1">
      <c r="A35" s="712" t="s">
        <v>384</v>
      </c>
      <c r="B35" s="712"/>
      <c r="C35" s="713">
        <v>6014</v>
      </c>
      <c r="D35" s="714"/>
      <c r="E35" s="745"/>
      <c r="F35" s="745"/>
      <c r="G35" s="745"/>
      <c r="H35" s="745"/>
      <c r="I35" s="745"/>
      <c r="J35" s="745"/>
      <c r="K35" s="745"/>
      <c r="L35" s="745"/>
      <c r="M35" s="745"/>
      <c r="N35" s="745"/>
      <c r="O35" s="745"/>
      <c r="P35" s="745"/>
      <c r="Q35" s="745"/>
      <c r="R35" s="717" t="str">
        <f>IFERROR(VLOOKUP($C35,[23]Nod!$A$3:$E$992,4,FALSE)," ")</f>
        <v>PRO230</v>
      </c>
      <c r="S35" s="717">
        <f>IFERROR(VLOOKUP($C35,[23]Nod!$A$3:$E$992,5,FALSE)," ")</f>
        <v>1</v>
      </c>
      <c r="T35" s="751" t="s">
        <v>153</v>
      </c>
      <c r="V35" s="713">
        <v>6009</v>
      </c>
      <c r="W35" s="715">
        <f>+'[24]Resumen Modelo'!G25</f>
        <v>254.52</v>
      </c>
      <c r="X35" s="715">
        <f>+'[24]Resumen Modelo'!H25</f>
        <v>251.24</v>
      </c>
      <c r="Y35" s="715">
        <f>+'[24]Resumen Modelo'!I25</f>
        <v>208.62</v>
      </c>
      <c r="Z35" s="715">
        <f>+'[24]Resumen Modelo'!J25</f>
        <v>238.6</v>
      </c>
      <c r="AA35" s="715">
        <f>+'[24]Resumen Modelo'!K25</f>
        <v>260.77</v>
      </c>
      <c r="AB35" s="715">
        <f>+'[24]Resumen Modelo'!L25</f>
        <v>289.83</v>
      </c>
      <c r="AC35" s="715">
        <f>+'[24]Resumen Modelo'!M25</f>
        <v>261.27999999999997</v>
      </c>
      <c r="AD35" s="715">
        <f>+'[24]Resumen Modelo'!N25</f>
        <v>269.32</v>
      </c>
      <c r="AE35" s="715">
        <f>+'[24]Resumen Modelo'!O25</f>
        <v>275.69</v>
      </c>
      <c r="AF35" s="715">
        <f>+'[24]Resumen Modelo'!P25</f>
        <v>293.06</v>
      </c>
      <c r="AG35" s="715">
        <f>+'[24]Resumen Modelo'!Q25</f>
        <v>267.05</v>
      </c>
      <c r="AH35" s="715">
        <f>+'[24]Resumen Modelo'!R25</f>
        <v>247.46</v>
      </c>
      <c r="AI35" s="750">
        <f>+MAX(W35:AH35)</f>
        <v>293.06</v>
      </c>
      <c r="AJ35" s="679"/>
      <c r="AK35" s="729" t="s">
        <v>146</v>
      </c>
      <c r="AL35" s="730"/>
      <c r="AM35" s="731"/>
      <c r="AN35" s="732"/>
    </row>
    <row r="36" spans="1:40" ht="15" customHeight="1">
      <c r="A36" s="752" t="s">
        <v>146</v>
      </c>
      <c r="C36" s="713"/>
      <c r="D36" s="753"/>
      <c r="E36" s="753"/>
      <c r="F36" s="753"/>
      <c r="G36" s="753"/>
      <c r="H36" s="753"/>
      <c r="I36" s="753"/>
      <c r="J36" s="753"/>
      <c r="K36" s="753"/>
      <c r="L36" s="753"/>
      <c r="M36" s="753"/>
      <c r="N36" s="753"/>
      <c r="O36" s="753"/>
      <c r="P36" s="753"/>
      <c r="Q36" s="716"/>
      <c r="R36" s="717" t="str">
        <f>IFERROR(VLOOKUP($C36,[23]Nod!$A$3:$E$992,4,FALSE)," ")</f>
        <v xml:space="preserve"> </v>
      </c>
      <c r="S36" s="717" t="str">
        <f>IFERROR(VLOOKUP($C36,[23]Nod!$A$3:$E$992,5,FALSE)," ")</f>
        <v xml:space="preserve"> </v>
      </c>
      <c r="T36" s="718" t="s">
        <v>154</v>
      </c>
      <c r="V36" s="713"/>
      <c r="W36" s="715">
        <f>+'[24]Resumen Modelo'!G26</f>
        <v>0</v>
      </c>
      <c r="X36" s="715">
        <f>+'[24]Resumen Modelo'!H26</f>
        <v>0</v>
      </c>
      <c r="Y36" s="715">
        <f>+'[24]Resumen Modelo'!I26</f>
        <v>0</v>
      </c>
      <c r="Z36" s="715">
        <f>+'[24]Resumen Modelo'!J26</f>
        <v>0</v>
      </c>
      <c r="AA36" s="715">
        <f>+'[24]Resumen Modelo'!K26</f>
        <v>0</v>
      </c>
      <c r="AB36" s="715">
        <f>+'[24]Resumen Modelo'!L26</f>
        <v>0</v>
      </c>
      <c r="AC36" s="715">
        <f>+'[24]Resumen Modelo'!M26</f>
        <v>0</v>
      </c>
      <c r="AD36" s="715">
        <f>+'[24]Resumen Modelo'!N26</f>
        <v>0</v>
      </c>
      <c r="AE36" s="715">
        <f>+'[24]Resumen Modelo'!O26</f>
        <v>0</v>
      </c>
      <c r="AF36" s="715">
        <f>+'[24]Resumen Modelo'!P26</f>
        <v>0</v>
      </c>
      <c r="AG36" s="715">
        <f>+'[24]Resumen Modelo'!Q26</f>
        <v>0</v>
      </c>
      <c r="AH36" s="715">
        <f>+'[24]Resumen Modelo'!R26</f>
        <v>0</v>
      </c>
      <c r="AI36" s="750"/>
      <c r="AJ36" s="679" t="str">
        <f>IFERROR(VLOOKUP($V30,#REF!,4,FALSE)," ")</f>
        <v xml:space="preserve"> </v>
      </c>
      <c r="AK36" s="748"/>
      <c r="AL36" s="720"/>
      <c r="AM36" s="721"/>
      <c r="AN36" s="722"/>
    </row>
    <row r="37" spans="1:40" ht="15" customHeight="1">
      <c r="A37" s="754">
        <v>2</v>
      </c>
      <c r="B37" s="734"/>
      <c r="C37" s="735"/>
      <c r="D37" s="736">
        <f>SUM(D38:D43)</f>
        <v>547.79999999999995</v>
      </c>
      <c r="E37" s="736">
        <f t="shared" ref="E37:K37" si="6">SUM(E38:E42)</f>
        <v>537.79999999999995</v>
      </c>
      <c r="F37" s="736">
        <f t="shared" si="6"/>
        <v>537.79999999999995</v>
      </c>
      <c r="G37" s="736">
        <f t="shared" si="6"/>
        <v>537.79999999999995</v>
      </c>
      <c r="H37" s="736">
        <f t="shared" si="6"/>
        <v>537.79999999999995</v>
      </c>
      <c r="I37" s="736">
        <f t="shared" si="6"/>
        <v>537.79999999999995</v>
      </c>
      <c r="J37" s="736">
        <f t="shared" si="6"/>
        <v>537.79999999999995</v>
      </c>
      <c r="K37" s="736">
        <f t="shared" si="6"/>
        <v>537.79999999999995</v>
      </c>
      <c r="L37" s="736">
        <f>SUM(L38:L42)</f>
        <v>537.79999999999995</v>
      </c>
      <c r="M37" s="736">
        <f>SUM(M38:M42)</f>
        <v>537.79999999999995</v>
      </c>
      <c r="N37" s="736">
        <f>SUM(N38:N42)</f>
        <v>537.79999999999995</v>
      </c>
      <c r="O37" s="736">
        <f>SUM(O38:O42)</f>
        <v>537.79999999999995</v>
      </c>
      <c r="P37" s="736">
        <f>SUM(P38:P42)</f>
        <v>537.79999999999995</v>
      </c>
      <c r="Q37" s="755"/>
      <c r="R37" s="717" t="str">
        <f>IFERROR(VLOOKUP($C37,[23]Nod!$A$3:$E$992,4,FALSE)," ")</f>
        <v xml:space="preserve"> </v>
      </c>
      <c r="S37" s="717" t="str">
        <f>IFERROR(VLOOKUP($C37,[23]Nod!$A$3:$E$992,5,FALSE)," ")</f>
        <v xml:space="preserve"> </v>
      </c>
      <c r="T37" s="723" t="s">
        <v>155</v>
      </c>
      <c r="V37" s="713">
        <v>6009</v>
      </c>
      <c r="W37" s="715">
        <f>+'[24]Resumen Modelo'!G27</f>
        <v>0.82000000000000006</v>
      </c>
      <c r="X37" s="715">
        <f>+'[24]Resumen Modelo'!H27</f>
        <v>0.8</v>
      </c>
      <c r="Y37" s="715">
        <f>+'[24]Resumen Modelo'!I27</f>
        <v>0.76</v>
      </c>
      <c r="Z37" s="715">
        <f>+'[24]Resumen Modelo'!J27</f>
        <v>0.74</v>
      </c>
      <c r="AA37" s="715">
        <f>+'[24]Resumen Modelo'!K27</f>
        <v>0.8</v>
      </c>
      <c r="AB37" s="715">
        <f>+'[24]Resumen Modelo'!L27</f>
        <v>0.83000000000000007</v>
      </c>
      <c r="AC37" s="715">
        <f>+'[24]Resumen Modelo'!M27</f>
        <v>0.79</v>
      </c>
      <c r="AD37" s="715">
        <f>+'[24]Resumen Modelo'!N27</f>
        <v>0.8</v>
      </c>
      <c r="AE37" s="715">
        <f>+'[24]Resumen Modelo'!O27</f>
        <v>0.81</v>
      </c>
      <c r="AF37" s="715">
        <f>+'[24]Resumen Modelo'!P27</f>
        <v>0.83000000000000007</v>
      </c>
      <c r="AG37" s="715">
        <f>+'[24]Resumen Modelo'!Q27</f>
        <v>0.76</v>
      </c>
      <c r="AH37" s="715">
        <f>+'[24]Resumen Modelo'!R27</f>
        <v>0.7</v>
      </c>
      <c r="AI37" s="750">
        <f>+MAX(W37:AH37)</f>
        <v>0.83000000000000007</v>
      </c>
      <c r="AJ37" s="679" t="str">
        <f>IFERROR(VLOOKUP($V31,#REF!,4,FALSE)," ")</f>
        <v xml:space="preserve"> </v>
      </c>
      <c r="AK37" s="708">
        <v>5</v>
      </c>
      <c r="AL37" s="709"/>
      <c r="AM37" s="710"/>
      <c r="AN37" s="711">
        <v>240.34983529537578</v>
      </c>
    </row>
    <row r="38" spans="1:40" ht="15" customHeight="1">
      <c r="A38" s="712" t="s">
        <v>28</v>
      </c>
      <c r="C38" s="713">
        <v>6096</v>
      </c>
      <c r="D38" s="714">
        <v>300</v>
      </c>
      <c r="E38" s="715">
        <v>300</v>
      </c>
      <c r="F38" s="715">
        <v>300</v>
      </c>
      <c r="G38" s="715">
        <v>300</v>
      </c>
      <c r="H38" s="715">
        <v>300</v>
      </c>
      <c r="I38" s="715">
        <v>300</v>
      </c>
      <c r="J38" s="715">
        <v>300</v>
      </c>
      <c r="K38" s="715">
        <v>300</v>
      </c>
      <c r="L38" s="715">
        <v>300</v>
      </c>
      <c r="M38" s="715">
        <v>300</v>
      </c>
      <c r="N38" s="715">
        <v>300</v>
      </c>
      <c r="O38" s="715">
        <v>300</v>
      </c>
      <c r="P38" s="715">
        <v>300</v>
      </c>
      <c r="Q38" s="716">
        <v>0</v>
      </c>
      <c r="R38" s="717" t="str">
        <f>IFERROR(VLOOKUP($C38,[23]Nod!$A$3:$E$992,4,FALSE)," ")</f>
        <v>FOR230</v>
      </c>
      <c r="S38" s="717">
        <f>IFERROR(VLOOKUP($C38,[23]Nod!$A$3:$E$992,5,FALSE)," ")</f>
        <v>2</v>
      </c>
      <c r="T38" s="723" t="s">
        <v>385</v>
      </c>
      <c r="V38" s="713">
        <v>6009</v>
      </c>
      <c r="W38" s="715">
        <f>+'[24]Resumen Modelo'!G28</f>
        <v>0</v>
      </c>
      <c r="X38" s="715">
        <f>+'[24]Resumen Modelo'!H28</f>
        <v>0</v>
      </c>
      <c r="Y38" s="715">
        <f>+'[24]Resumen Modelo'!I28</f>
        <v>0</v>
      </c>
      <c r="Z38" s="715">
        <f>+'[24]Resumen Modelo'!J28</f>
        <v>0</v>
      </c>
      <c r="AA38" s="715">
        <f>+'[24]Resumen Modelo'!K28</f>
        <v>0</v>
      </c>
      <c r="AB38" s="715">
        <f>+'[24]Resumen Modelo'!L28</f>
        <v>0</v>
      </c>
      <c r="AC38" s="715">
        <f>+'[24]Resumen Modelo'!M28</f>
        <v>0</v>
      </c>
      <c r="AD38" s="715">
        <f>+'[24]Resumen Modelo'!N28</f>
        <v>0</v>
      </c>
      <c r="AE38" s="715">
        <f>+'[24]Resumen Modelo'!O28</f>
        <v>0</v>
      </c>
      <c r="AF38" s="715">
        <f>+'[24]Resumen Modelo'!P28</f>
        <v>0</v>
      </c>
      <c r="AG38" s="715">
        <f>+'[24]Resumen Modelo'!Q28</f>
        <v>0</v>
      </c>
      <c r="AH38" s="715">
        <f>+'[24]Resumen Modelo'!R28</f>
        <v>0</v>
      </c>
      <c r="AI38" s="750">
        <f>+MAX(W38:AH38)</f>
        <v>0</v>
      </c>
      <c r="AJ38" s="679" t="str">
        <f>IFERROR(VLOOKUP($V32,#REF!,4,FALSE)," ")</f>
        <v xml:space="preserve"> </v>
      </c>
      <c r="AK38" s="719" t="s">
        <v>151</v>
      </c>
      <c r="AL38" s="720"/>
      <c r="AM38" s="721"/>
      <c r="AN38" s="722"/>
    </row>
    <row r="39" spans="1:40" ht="15" customHeight="1">
      <c r="A39" s="712" t="s">
        <v>29</v>
      </c>
      <c r="C39" s="713">
        <v>6179</v>
      </c>
      <c r="D39" s="714">
        <v>120</v>
      </c>
      <c r="E39" s="715">
        <v>120</v>
      </c>
      <c r="F39" s="715">
        <v>120</v>
      </c>
      <c r="G39" s="715">
        <v>120</v>
      </c>
      <c r="H39" s="715">
        <v>120</v>
      </c>
      <c r="I39" s="715">
        <v>120</v>
      </c>
      <c r="J39" s="715">
        <v>120</v>
      </c>
      <c r="K39" s="715">
        <v>120</v>
      </c>
      <c r="L39" s="715">
        <v>120</v>
      </c>
      <c r="M39" s="715">
        <v>120</v>
      </c>
      <c r="N39" s="715">
        <v>120</v>
      </c>
      <c r="O39" s="715">
        <v>120</v>
      </c>
      <c r="P39" s="715">
        <v>120</v>
      </c>
      <c r="Q39" s="716">
        <v>0</v>
      </c>
      <c r="R39" s="717" t="str">
        <f>IFERROR(VLOOKUP($C39,[23]Nod!$A$3:$E$992,4,FALSE)," ")</f>
        <v>GUA230</v>
      </c>
      <c r="S39" s="717">
        <f>IFERROR(VLOOKUP($C39,[23]Nod!$A$3:$E$992,5,FALSE)," ")</f>
        <v>2</v>
      </c>
      <c r="T39" s="723" t="s">
        <v>386</v>
      </c>
      <c r="V39" s="713">
        <v>6009</v>
      </c>
      <c r="W39" s="715">
        <f>+'[24]Resumen Modelo'!G29</f>
        <v>0.74</v>
      </c>
      <c r="X39" s="715">
        <f>+'[24]Resumen Modelo'!H29</f>
        <v>0.74</v>
      </c>
      <c r="Y39" s="715">
        <f>+'[24]Resumen Modelo'!I29</f>
        <v>0.69</v>
      </c>
      <c r="Z39" s="715">
        <f>+'[24]Resumen Modelo'!J29</f>
        <v>0.68</v>
      </c>
      <c r="AA39" s="715">
        <f>+'[24]Resumen Modelo'!K29</f>
        <v>0.66</v>
      </c>
      <c r="AB39" s="715">
        <f>+'[24]Resumen Modelo'!L29</f>
        <v>0.79</v>
      </c>
      <c r="AC39" s="715">
        <f>+'[24]Resumen Modelo'!M29</f>
        <v>0.78</v>
      </c>
      <c r="AD39" s="715">
        <f>+'[24]Resumen Modelo'!N29</f>
        <v>0.78</v>
      </c>
      <c r="AE39" s="715">
        <f>+'[24]Resumen Modelo'!O29</f>
        <v>0.77</v>
      </c>
      <c r="AF39" s="715">
        <f>+'[24]Resumen Modelo'!P29</f>
        <v>1.37</v>
      </c>
      <c r="AG39" s="715">
        <f>+'[24]Resumen Modelo'!Q29</f>
        <v>0.71</v>
      </c>
      <c r="AH39" s="715">
        <f>+'[24]Resumen Modelo'!R29</f>
        <v>0.76</v>
      </c>
      <c r="AI39" s="750">
        <f>+MAX(W39:AH39)</f>
        <v>1.37</v>
      </c>
      <c r="AJ39" s="679" t="str">
        <f>IFERROR(VLOOKUP($V33,#REF!,4,FALSE)," ")</f>
        <v xml:space="preserve"> </v>
      </c>
      <c r="AK39" s="724" t="s">
        <v>387</v>
      </c>
      <c r="AL39" s="720"/>
      <c r="AM39" s="721">
        <v>6009</v>
      </c>
      <c r="AN39" s="722">
        <v>238.43</v>
      </c>
    </row>
    <row r="40" spans="1:40" ht="15" customHeight="1">
      <c r="A40" s="712" t="s">
        <v>72</v>
      </c>
      <c r="C40" s="713">
        <v>6179</v>
      </c>
      <c r="D40" s="714">
        <v>25.34</v>
      </c>
      <c r="E40" s="715">
        <v>25.34</v>
      </c>
      <c r="F40" s="715">
        <v>25.34</v>
      </c>
      <c r="G40" s="715">
        <v>25.34</v>
      </c>
      <c r="H40" s="715">
        <v>25.34</v>
      </c>
      <c r="I40" s="715">
        <v>25.34</v>
      </c>
      <c r="J40" s="715">
        <v>25.34</v>
      </c>
      <c r="K40" s="715">
        <v>25.34</v>
      </c>
      <c r="L40" s="715">
        <v>25.34</v>
      </c>
      <c r="M40" s="715">
        <v>25.34</v>
      </c>
      <c r="N40" s="715">
        <v>25.34</v>
      </c>
      <c r="O40" s="715">
        <v>25.34</v>
      </c>
      <c r="P40" s="715">
        <v>25.34</v>
      </c>
      <c r="Q40" s="716">
        <v>0</v>
      </c>
      <c r="R40" s="717" t="str">
        <f>IFERROR(VLOOKUP($C40,[23]Nod!$A$3:$E$992,4,FALSE)," ")</f>
        <v>GUA230</v>
      </c>
      <c r="S40" s="717">
        <f>IFERROR(VLOOKUP($C40,[23]Nod!$A$3:$E$992,5,FALSE)," ")</f>
        <v>2</v>
      </c>
      <c r="T40" s="756" t="s">
        <v>388</v>
      </c>
      <c r="V40" s="713"/>
      <c r="W40" s="715">
        <f>+'[24]Resumen Modelo'!G30</f>
        <v>0</v>
      </c>
      <c r="X40" s="715">
        <f>+'[24]Resumen Modelo'!H30</f>
        <v>0</v>
      </c>
      <c r="Y40" s="715">
        <f>+'[24]Resumen Modelo'!I30</f>
        <v>0</v>
      </c>
      <c r="Z40" s="715">
        <f>+'[24]Resumen Modelo'!J30</f>
        <v>0</v>
      </c>
      <c r="AA40" s="715">
        <f>+'[24]Resumen Modelo'!K30</f>
        <v>0</v>
      </c>
      <c r="AB40" s="715">
        <f>+'[24]Resumen Modelo'!L30</f>
        <v>0</v>
      </c>
      <c r="AC40" s="715">
        <f>+'[24]Resumen Modelo'!M30</f>
        <v>0</v>
      </c>
      <c r="AD40" s="715">
        <f>+'[24]Resumen Modelo'!N30</f>
        <v>0</v>
      </c>
      <c r="AE40" s="715">
        <f>+'[24]Resumen Modelo'!O30</f>
        <v>0</v>
      </c>
      <c r="AF40" s="715">
        <f>+'[24]Resumen Modelo'!P30</f>
        <v>0</v>
      </c>
      <c r="AG40" s="715">
        <f>+'[24]Resumen Modelo'!Q30</f>
        <v>0</v>
      </c>
      <c r="AH40" s="715">
        <f>+'[24]Resumen Modelo'!R30</f>
        <v>0</v>
      </c>
      <c r="AI40" s="750"/>
      <c r="AJ40" s="679" t="str">
        <f>IFERROR(VLOOKUP($V34,#REF!,4,FALSE)," ")</f>
        <v xml:space="preserve"> </v>
      </c>
      <c r="AK40" s="719" t="s">
        <v>154</v>
      </c>
      <c r="AL40" s="720"/>
      <c r="AM40" s="721"/>
      <c r="AN40" s="722"/>
    </row>
    <row r="41" spans="1:40" ht="15" customHeight="1">
      <c r="A41" s="712" t="s">
        <v>73</v>
      </c>
      <c r="C41" s="713">
        <v>6179</v>
      </c>
      <c r="D41" s="714">
        <v>33.799999999999997</v>
      </c>
      <c r="E41" s="715">
        <v>33.799999999999997</v>
      </c>
      <c r="F41" s="715">
        <v>33.799999999999997</v>
      </c>
      <c r="G41" s="715">
        <v>33.799999999999997</v>
      </c>
      <c r="H41" s="715">
        <v>33.799999999999997</v>
      </c>
      <c r="I41" s="715">
        <v>33.799999999999997</v>
      </c>
      <c r="J41" s="715">
        <v>33.799999999999997</v>
      </c>
      <c r="K41" s="715">
        <v>33.799999999999997</v>
      </c>
      <c r="L41" s="715">
        <v>33.799999999999997</v>
      </c>
      <c r="M41" s="715">
        <v>33.799999999999997</v>
      </c>
      <c r="N41" s="715">
        <v>33.799999999999997</v>
      </c>
      <c r="O41" s="715">
        <v>33.799999999999997</v>
      </c>
      <c r="P41" s="715">
        <v>33.799999999999997</v>
      </c>
      <c r="Q41" s="716">
        <v>0</v>
      </c>
      <c r="R41" s="717" t="str">
        <f>IFERROR(VLOOKUP($C41,[23]Nod!$A$3:$E$992,4,FALSE)," ")</f>
        <v>GUA230</v>
      </c>
      <c r="S41" s="717">
        <f>IFERROR(VLOOKUP($C41,[23]Nod!$A$3:$E$992,5,FALSE)," ")</f>
        <v>2</v>
      </c>
      <c r="T41" s="723" t="s">
        <v>389</v>
      </c>
      <c r="V41" s="713">
        <v>6008</v>
      </c>
      <c r="W41" s="715">
        <f>+'[24]Resumen Modelo'!G31</f>
        <v>187.22</v>
      </c>
      <c r="X41" s="715">
        <f>+'[24]Resumen Modelo'!H31</f>
        <v>164.85</v>
      </c>
      <c r="Y41" s="715">
        <f>+'[24]Resumen Modelo'!I31</f>
        <v>158</v>
      </c>
      <c r="Z41" s="715">
        <f>+'[24]Resumen Modelo'!J31</f>
        <v>73.56</v>
      </c>
      <c r="AA41" s="715">
        <f>+'[24]Resumen Modelo'!K31</f>
        <v>169.65</v>
      </c>
      <c r="AB41" s="715">
        <f>+'[24]Resumen Modelo'!L31</f>
        <v>271.3</v>
      </c>
      <c r="AC41" s="715">
        <f>+'[24]Resumen Modelo'!M31</f>
        <v>181.77</v>
      </c>
      <c r="AD41" s="715">
        <f>+'[24]Resumen Modelo'!N31</f>
        <v>174.74</v>
      </c>
      <c r="AE41" s="715">
        <f>+'[24]Resumen Modelo'!O31</f>
        <v>229.64</v>
      </c>
      <c r="AF41" s="715">
        <f>+'[24]Resumen Modelo'!P31</f>
        <v>171.69</v>
      </c>
      <c r="AG41" s="715">
        <f>+'[24]Resumen Modelo'!Q31</f>
        <v>91.82</v>
      </c>
      <c r="AH41" s="715">
        <f>+'[24]Resumen Modelo'!R31</f>
        <v>134.88999999999999</v>
      </c>
      <c r="AI41" s="750">
        <f>+MAX(W41:AH41)</f>
        <v>271.3</v>
      </c>
      <c r="AJ41" s="679" t="str">
        <f>IFERROR(VLOOKUP($V35,#REF!,4,FALSE)," ")</f>
        <v xml:space="preserve"> </v>
      </c>
      <c r="AK41" s="724" t="s">
        <v>155</v>
      </c>
      <c r="AL41" s="720"/>
      <c r="AM41" s="721">
        <v>6009</v>
      </c>
      <c r="AN41" s="722">
        <v>0.98298267347968538</v>
      </c>
    </row>
    <row r="42" spans="1:40" ht="15" customHeight="1">
      <c r="A42" s="712" t="s">
        <v>74</v>
      </c>
      <c r="C42" s="713">
        <v>6179</v>
      </c>
      <c r="D42" s="714">
        <v>58.66</v>
      </c>
      <c r="E42" s="715">
        <v>58.66</v>
      </c>
      <c r="F42" s="715">
        <v>58.66</v>
      </c>
      <c r="G42" s="715">
        <v>58.66</v>
      </c>
      <c r="H42" s="715">
        <v>58.66</v>
      </c>
      <c r="I42" s="715">
        <v>58.66</v>
      </c>
      <c r="J42" s="715">
        <v>58.66</v>
      </c>
      <c r="K42" s="715">
        <v>58.66</v>
      </c>
      <c r="L42" s="715">
        <v>58.66</v>
      </c>
      <c r="M42" s="715">
        <v>58.66</v>
      </c>
      <c r="N42" s="715">
        <v>58.66</v>
      </c>
      <c r="O42" s="715">
        <v>58.66</v>
      </c>
      <c r="P42" s="715">
        <v>58.66</v>
      </c>
      <c r="Q42" s="716">
        <v>0</v>
      </c>
      <c r="R42" s="717" t="str">
        <f>IFERROR(VLOOKUP($C42,[23]Nod!$A$3:$E$992,4,FALSE)," ")</f>
        <v>GUA230</v>
      </c>
      <c r="S42" s="717">
        <f>IFERROR(VLOOKUP($C42,[23]Nod!$A$3:$E$992,5,FALSE)," ")</f>
        <v>2</v>
      </c>
      <c r="T42" s="744" t="s">
        <v>146</v>
      </c>
      <c r="V42" s="713"/>
      <c r="W42" s="715">
        <f>+'[24]Resumen Modelo'!G32</f>
        <v>0</v>
      </c>
      <c r="X42" s="715">
        <f>+'[24]Resumen Modelo'!H32</f>
        <v>0</v>
      </c>
      <c r="Y42" s="715">
        <f>+'[24]Resumen Modelo'!I32</f>
        <v>0</v>
      </c>
      <c r="Z42" s="715">
        <f>+'[24]Resumen Modelo'!J32</f>
        <v>0</v>
      </c>
      <c r="AA42" s="715">
        <f>+'[24]Resumen Modelo'!K32</f>
        <v>0</v>
      </c>
      <c r="AB42" s="715">
        <f>+'[24]Resumen Modelo'!L32</f>
        <v>0</v>
      </c>
      <c r="AC42" s="715">
        <f>+'[24]Resumen Modelo'!M32</f>
        <v>0</v>
      </c>
      <c r="AD42" s="715">
        <f>+'[24]Resumen Modelo'!N32</f>
        <v>0</v>
      </c>
      <c r="AE42" s="715">
        <f>+'[24]Resumen Modelo'!O32</f>
        <v>0</v>
      </c>
      <c r="AF42" s="715">
        <f>+'[24]Resumen Modelo'!P32</f>
        <v>0</v>
      </c>
      <c r="AG42" s="715">
        <f>+'[24]Resumen Modelo'!Q32</f>
        <v>0</v>
      </c>
      <c r="AH42" s="715">
        <f>+'[24]Resumen Modelo'!R32</f>
        <v>0</v>
      </c>
      <c r="AI42" s="757"/>
      <c r="AJ42" s="679" t="str">
        <f>IFERROR(VLOOKUP($V36,#REF!,4,FALSE)," ")</f>
        <v xml:space="preserve"> </v>
      </c>
      <c r="AK42" s="724" t="s">
        <v>156</v>
      </c>
      <c r="AL42" s="720"/>
      <c r="AM42" s="721">
        <v>6009</v>
      </c>
      <c r="AN42" s="722">
        <v>0.81643298536117104</v>
      </c>
    </row>
    <row r="43" spans="1:40" ht="15" customHeight="1">
      <c r="A43" s="712" t="s">
        <v>390</v>
      </c>
      <c r="C43" s="713">
        <v>6179</v>
      </c>
      <c r="D43" s="714">
        <v>10</v>
      </c>
      <c r="E43" s="715"/>
      <c r="F43" s="715"/>
      <c r="G43" s="715"/>
      <c r="H43" s="715"/>
      <c r="I43" s="715"/>
      <c r="J43" s="715"/>
      <c r="K43" s="715"/>
      <c r="L43" s="715"/>
      <c r="M43" s="715"/>
      <c r="N43" s="715"/>
      <c r="O43" s="715"/>
      <c r="P43" s="715"/>
      <c r="Q43" s="716"/>
      <c r="R43" s="717" t="str">
        <f>IFERROR(VLOOKUP($C43,[23]Nod!$A$3:$E$992,4,FALSE)," ")</f>
        <v>GUA230</v>
      </c>
      <c r="S43" s="717">
        <f>IFERROR(VLOOKUP($C43,[23]Nod!$A$3:$E$992,5,FALSE)," ")</f>
        <v>2</v>
      </c>
      <c r="T43" s="733">
        <v>6</v>
      </c>
      <c r="U43" s="734"/>
      <c r="V43" s="735"/>
      <c r="W43" s="742">
        <f>+'[24]Resumen Modelo'!G33</f>
        <v>169.91</v>
      </c>
      <c r="X43" s="742">
        <f>+'[24]Resumen Modelo'!H33</f>
        <v>171.82</v>
      </c>
      <c r="Y43" s="742">
        <f>+'[24]Resumen Modelo'!I33</f>
        <v>168.95999999999998</v>
      </c>
      <c r="Z43" s="742">
        <f>+'[24]Resumen Modelo'!J33</f>
        <v>164.78</v>
      </c>
      <c r="AA43" s="742">
        <f>+'[24]Resumen Modelo'!K33</f>
        <v>163.92999999999998</v>
      </c>
      <c r="AB43" s="742">
        <f>+'[24]Resumen Modelo'!L33</f>
        <v>172.06</v>
      </c>
      <c r="AC43" s="742">
        <f>+'[24]Resumen Modelo'!M33</f>
        <v>158.99</v>
      </c>
      <c r="AD43" s="742">
        <f>+'[24]Resumen Modelo'!N33</f>
        <v>166.59</v>
      </c>
      <c r="AE43" s="742">
        <f>+'[24]Resumen Modelo'!O33</f>
        <v>165.61</v>
      </c>
      <c r="AF43" s="742">
        <f>+'[24]Resumen Modelo'!P33</f>
        <v>174.70999999999998</v>
      </c>
      <c r="AG43" s="742">
        <f>+'[24]Resumen Modelo'!Q33</f>
        <v>183.22000000000003</v>
      </c>
      <c r="AH43" s="742">
        <f>+'[24]Resumen Modelo'!R33</f>
        <v>166.1</v>
      </c>
      <c r="AI43" s="742">
        <f>SUM(AI44:AI49)</f>
        <v>183.27</v>
      </c>
      <c r="AJ43" s="679" t="str">
        <f>IFERROR(VLOOKUP($V37,#REF!,4,FALSE)," ")</f>
        <v xml:space="preserve"> </v>
      </c>
      <c r="AK43" s="724" t="s">
        <v>385</v>
      </c>
      <c r="AL43" s="720"/>
      <c r="AM43" s="721">
        <v>6009</v>
      </c>
      <c r="AN43" s="722">
        <v>0.12041963653493307</v>
      </c>
    </row>
    <row r="44" spans="1:40" ht="15" customHeight="1">
      <c r="A44" s="758" t="s">
        <v>146</v>
      </c>
      <c r="B44" s="726"/>
      <c r="C44" s="727"/>
      <c r="D44" s="759"/>
      <c r="E44" s="759"/>
      <c r="F44" s="759"/>
      <c r="G44" s="759"/>
      <c r="H44" s="759"/>
      <c r="I44" s="759"/>
      <c r="J44" s="759"/>
      <c r="K44" s="759"/>
      <c r="L44" s="759"/>
      <c r="M44" s="759"/>
      <c r="N44" s="759"/>
      <c r="O44" s="759"/>
      <c r="P44" s="759"/>
      <c r="Q44" s="760"/>
      <c r="R44" s="717" t="str">
        <f>IFERROR(VLOOKUP($C44,[23]Nod!$A$3:$E$992,4,FALSE)," ")</f>
        <v xml:space="preserve"> </v>
      </c>
      <c r="S44" s="717" t="str">
        <f>IFERROR(VLOOKUP($C44,[23]Nod!$A$3:$E$992,5,FALSE)," ")</f>
        <v xml:space="preserve"> </v>
      </c>
      <c r="T44" s="718" t="s">
        <v>151</v>
      </c>
      <c r="V44" s="713"/>
      <c r="W44" s="715">
        <f>+'[24]Resumen Modelo'!G34</f>
        <v>0</v>
      </c>
      <c r="X44" s="715">
        <f>+'[24]Resumen Modelo'!H34</f>
        <v>0</v>
      </c>
      <c r="Y44" s="715">
        <f>+'[24]Resumen Modelo'!I34</f>
        <v>0</v>
      </c>
      <c r="Z44" s="715">
        <f>+'[24]Resumen Modelo'!J34</f>
        <v>0</v>
      </c>
      <c r="AA44" s="715">
        <f>+'[24]Resumen Modelo'!K34</f>
        <v>0</v>
      </c>
      <c r="AB44" s="715">
        <f>+'[24]Resumen Modelo'!L34</f>
        <v>0</v>
      </c>
      <c r="AC44" s="715">
        <f>+'[24]Resumen Modelo'!M34</f>
        <v>0</v>
      </c>
      <c r="AD44" s="715">
        <f>+'[24]Resumen Modelo'!N34</f>
        <v>0</v>
      </c>
      <c r="AE44" s="715">
        <f>+'[24]Resumen Modelo'!O34</f>
        <v>0</v>
      </c>
      <c r="AF44" s="715">
        <f>+'[24]Resumen Modelo'!P34</f>
        <v>0</v>
      </c>
      <c r="AG44" s="715">
        <f>+'[24]Resumen Modelo'!Q34</f>
        <v>0</v>
      </c>
      <c r="AH44" s="715">
        <f>+'[24]Resumen Modelo'!R34</f>
        <v>0</v>
      </c>
      <c r="AI44" s="750"/>
      <c r="AJ44" s="679" t="str">
        <f>IFERROR(VLOOKUP($V38,#REF!,4,FALSE)," ")</f>
        <v xml:space="preserve"> </v>
      </c>
      <c r="AK44" s="748" t="s">
        <v>146</v>
      </c>
      <c r="AL44" s="720"/>
      <c r="AM44" s="721"/>
      <c r="AN44" s="722"/>
    </row>
    <row r="45" spans="1:40" ht="15" customHeight="1">
      <c r="A45" s="702">
        <v>3</v>
      </c>
      <c r="B45" s="703"/>
      <c r="C45" s="704"/>
      <c r="D45" s="705">
        <f>SUM(D46:D51)</f>
        <v>155.26999999999998</v>
      </c>
      <c r="E45" s="705">
        <f t="shared" ref="E45:K45" si="7">SUM(E46:E51)</f>
        <v>155.26999999999998</v>
      </c>
      <c r="F45" s="705">
        <f t="shared" si="7"/>
        <v>155.26999999999998</v>
      </c>
      <c r="G45" s="705">
        <f t="shared" si="7"/>
        <v>155.26999999999998</v>
      </c>
      <c r="H45" s="705">
        <f t="shared" si="7"/>
        <v>155.26999999999998</v>
      </c>
      <c r="I45" s="705">
        <f t="shared" si="7"/>
        <v>155.26999999999998</v>
      </c>
      <c r="J45" s="705">
        <f t="shared" si="7"/>
        <v>155.26999999999998</v>
      </c>
      <c r="K45" s="705">
        <f t="shared" si="7"/>
        <v>155.26999999999998</v>
      </c>
      <c r="L45" s="705">
        <f>SUM(L46:L51)</f>
        <v>155.26999999999998</v>
      </c>
      <c r="M45" s="705">
        <f>SUM(M46:M51)</f>
        <v>155.26999999999998</v>
      </c>
      <c r="N45" s="705">
        <f>SUM(N46:N51)</f>
        <v>155.26999999999998</v>
      </c>
      <c r="O45" s="705">
        <f>SUM(O46:O51)</f>
        <v>155.26999999999998</v>
      </c>
      <c r="P45" s="705">
        <f>SUM(P46:P51)</f>
        <v>155.26999999999998</v>
      </c>
      <c r="Q45" s="706"/>
      <c r="R45" s="717" t="str">
        <f>IFERROR(VLOOKUP($C45,[23]Nod!$A$3:$E$992,4,FALSE)," ")</f>
        <v xml:space="preserve"> </v>
      </c>
      <c r="S45" s="717" t="str">
        <f>IFERROR(VLOOKUP($C45,[23]Nod!$A$3:$E$992,5,FALSE)," ")</f>
        <v xml:space="preserve"> </v>
      </c>
      <c r="T45" s="723" t="s">
        <v>159</v>
      </c>
      <c r="V45" s="713">
        <v>6005</v>
      </c>
      <c r="W45" s="715">
        <f>+'[24]Resumen Modelo'!G35</f>
        <v>167.57</v>
      </c>
      <c r="X45" s="715">
        <f>+'[24]Resumen Modelo'!H35</f>
        <v>169.48</v>
      </c>
      <c r="Y45" s="715">
        <f>+'[24]Resumen Modelo'!I35</f>
        <v>166.6</v>
      </c>
      <c r="Z45" s="715">
        <f>+'[24]Resumen Modelo'!J35</f>
        <v>162.41999999999999</v>
      </c>
      <c r="AA45" s="715">
        <f>+'[24]Resumen Modelo'!K35</f>
        <v>161.57</v>
      </c>
      <c r="AB45" s="715">
        <f>+'[24]Resumen Modelo'!L35</f>
        <v>169.74</v>
      </c>
      <c r="AC45" s="715">
        <f>+'[24]Resumen Modelo'!M35</f>
        <v>156.68</v>
      </c>
      <c r="AD45" s="715">
        <f>+'[24]Resumen Modelo'!N35</f>
        <v>164.28</v>
      </c>
      <c r="AE45" s="715">
        <f>+'[24]Resumen Modelo'!O35</f>
        <v>163.30000000000001</v>
      </c>
      <c r="AF45" s="715">
        <f>+'[24]Resumen Modelo'!P35</f>
        <v>172.39</v>
      </c>
      <c r="AG45" s="715">
        <f>+'[24]Resumen Modelo'!Q35</f>
        <v>180.9</v>
      </c>
      <c r="AH45" s="715">
        <f>+'[24]Resumen Modelo'!R35</f>
        <v>163.80000000000001</v>
      </c>
      <c r="AI45" s="750">
        <f>+MAX(W45:AH45)</f>
        <v>180.9</v>
      </c>
      <c r="AJ45" s="679" t="str">
        <f>IFERROR(VLOOKUP($V39,#REF!,4,FALSE)," ")</f>
        <v xml:space="preserve"> </v>
      </c>
      <c r="AK45" s="737">
        <v>6</v>
      </c>
      <c r="AL45" s="738"/>
      <c r="AM45" s="739"/>
      <c r="AN45" s="740">
        <v>171.22199929453993</v>
      </c>
    </row>
    <row r="46" spans="1:40" ht="15" customHeight="1">
      <c r="A46" s="712" t="s">
        <v>147</v>
      </c>
      <c r="C46" s="713">
        <v>6087</v>
      </c>
      <c r="D46" s="714">
        <v>47.2</v>
      </c>
      <c r="E46" s="715">
        <v>47.2</v>
      </c>
      <c r="F46" s="715">
        <v>47.2</v>
      </c>
      <c r="G46" s="715">
        <v>47.2</v>
      </c>
      <c r="H46" s="715">
        <v>47.2</v>
      </c>
      <c r="I46" s="715">
        <v>47.2</v>
      </c>
      <c r="J46" s="715">
        <v>47.2</v>
      </c>
      <c r="K46" s="715">
        <v>47.2</v>
      </c>
      <c r="L46" s="715">
        <v>47.2</v>
      </c>
      <c r="M46" s="715">
        <v>47.2</v>
      </c>
      <c r="N46" s="715">
        <v>47.2</v>
      </c>
      <c r="O46" s="715">
        <v>47.2</v>
      </c>
      <c r="P46" s="715">
        <v>47.2</v>
      </c>
      <c r="Q46" s="716">
        <v>0</v>
      </c>
      <c r="R46" s="717" t="str">
        <f>IFERROR(VLOOKUP($C46,[23]Nod!$A$3:$E$992,4,FALSE)," ")</f>
        <v>CAL115</v>
      </c>
      <c r="S46" s="717">
        <f>IFERROR(VLOOKUP($C46,[23]Nod!$A$3:$E$992,5,FALSE)," ")</f>
        <v>3</v>
      </c>
      <c r="T46" s="718" t="s">
        <v>154</v>
      </c>
      <c r="V46" s="713"/>
      <c r="W46" s="715">
        <f>+'[24]Resumen Modelo'!G36</f>
        <v>0</v>
      </c>
      <c r="X46" s="715">
        <f>+'[24]Resumen Modelo'!H36</f>
        <v>0</v>
      </c>
      <c r="Y46" s="715">
        <f>+'[24]Resumen Modelo'!I36</f>
        <v>0</v>
      </c>
      <c r="Z46" s="715">
        <f>+'[24]Resumen Modelo'!J36</f>
        <v>0</v>
      </c>
      <c r="AA46" s="715">
        <f>+'[24]Resumen Modelo'!K36</f>
        <v>0</v>
      </c>
      <c r="AB46" s="715">
        <f>+'[24]Resumen Modelo'!L36</f>
        <v>0</v>
      </c>
      <c r="AC46" s="715">
        <f>+'[24]Resumen Modelo'!M36</f>
        <v>0</v>
      </c>
      <c r="AD46" s="715">
        <f>+'[24]Resumen Modelo'!N36</f>
        <v>0</v>
      </c>
      <c r="AE46" s="715">
        <f>+'[24]Resumen Modelo'!O36</f>
        <v>0</v>
      </c>
      <c r="AF46" s="715">
        <f>+'[24]Resumen Modelo'!P36</f>
        <v>0</v>
      </c>
      <c r="AG46" s="715">
        <f>+'[24]Resumen Modelo'!Q36</f>
        <v>0</v>
      </c>
      <c r="AH46" s="715">
        <f>+'[24]Resumen Modelo'!R36</f>
        <v>0</v>
      </c>
      <c r="AI46" s="750"/>
      <c r="AJ46" s="679"/>
      <c r="AK46" s="719" t="s">
        <v>151</v>
      </c>
      <c r="AL46" s="720"/>
      <c r="AM46" s="721"/>
      <c r="AN46" s="722"/>
    </row>
    <row r="47" spans="1:40" ht="15" customHeight="1">
      <c r="A47" s="712" t="s">
        <v>30</v>
      </c>
      <c r="C47" s="713">
        <v>6087</v>
      </c>
      <c r="D47" s="714">
        <v>54.76</v>
      </c>
      <c r="E47" s="715">
        <v>54.76</v>
      </c>
      <c r="F47" s="715">
        <v>54.76</v>
      </c>
      <c r="G47" s="715">
        <v>54.76</v>
      </c>
      <c r="H47" s="715">
        <v>54.76</v>
      </c>
      <c r="I47" s="715">
        <v>54.76</v>
      </c>
      <c r="J47" s="715">
        <v>54.76</v>
      </c>
      <c r="K47" s="715">
        <v>54.76</v>
      </c>
      <c r="L47" s="715">
        <v>54.76</v>
      </c>
      <c r="M47" s="715">
        <v>54.76</v>
      </c>
      <c r="N47" s="715">
        <v>54.76</v>
      </c>
      <c r="O47" s="715">
        <v>54.76</v>
      </c>
      <c r="P47" s="715">
        <v>54.76</v>
      </c>
      <c r="Q47" s="716">
        <v>0</v>
      </c>
      <c r="R47" s="717" t="str">
        <f>IFERROR(VLOOKUP($C47,[23]Nod!$A$3:$E$992,4,FALSE)," ")</f>
        <v>CAL115</v>
      </c>
      <c r="S47" s="717">
        <f>IFERROR(VLOOKUP($C47,[23]Nod!$A$3:$E$992,5,FALSE)," ")</f>
        <v>3</v>
      </c>
      <c r="T47" s="723" t="s">
        <v>155</v>
      </c>
      <c r="V47" s="713">
        <v>6005</v>
      </c>
      <c r="W47" s="715">
        <f>+'[24]Resumen Modelo'!G37</f>
        <v>0.23</v>
      </c>
      <c r="X47" s="715">
        <f>+'[24]Resumen Modelo'!H37</f>
        <v>0.22</v>
      </c>
      <c r="Y47" s="715">
        <f>+'[24]Resumen Modelo'!I37</f>
        <v>0.23</v>
      </c>
      <c r="Z47" s="715">
        <f>+'[24]Resumen Modelo'!J37</f>
        <v>0.24</v>
      </c>
      <c r="AA47" s="715">
        <f>+'[24]Resumen Modelo'!K37</f>
        <v>0.23</v>
      </c>
      <c r="AB47" s="715">
        <f>+'[24]Resumen Modelo'!L37</f>
        <v>0.22</v>
      </c>
      <c r="AC47" s="715">
        <f>+'[24]Resumen Modelo'!M37</f>
        <v>0.21</v>
      </c>
      <c r="AD47" s="715">
        <f>+'[24]Resumen Modelo'!N37</f>
        <v>0.21</v>
      </c>
      <c r="AE47" s="715">
        <f>+'[24]Resumen Modelo'!O37</f>
        <v>0.22</v>
      </c>
      <c r="AF47" s="715">
        <f>+'[24]Resumen Modelo'!P37</f>
        <v>0.22</v>
      </c>
      <c r="AG47" s="715">
        <f>+'[24]Resumen Modelo'!Q37</f>
        <v>0.24</v>
      </c>
      <c r="AH47" s="715">
        <f>+'[24]Resumen Modelo'!R37</f>
        <v>0.23</v>
      </c>
      <c r="AI47" s="750">
        <f>+MAX(W47:AH47)</f>
        <v>0.24</v>
      </c>
      <c r="AJ47" s="679" t="str">
        <f>IFERROR(VLOOKUP($V41,#REF!,4,FALSE)," ")</f>
        <v xml:space="preserve"> </v>
      </c>
      <c r="AK47" s="724" t="s">
        <v>159</v>
      </c>
      <c r="AL47" s="720"/>
      <c r="AM47" s="721">
        <v>6005</v>
      </c>
      <c r="AN47" s="722">
        <v>169.89</v>
      </c>
    </row>
    <row r="48" spans="1:40" ht="15" customHeight="1">
      <c r="A48" s="712" t="s">
        <v>76</v>
      </c>
      <c r="C48" s="713">
        <v>6087</v>
      </c>
      <c r="D48" s="714">
        <v>19.75</v>
      </c>
      <c r="E48" s="715">
        <v>19.75</v>
      </c>
      <c r="F48" s="715">
        <v>19.75</v>
      </c>
      <c r="G48" s="715">
        <v>19.75</v>
      </c>
      <c r="H48" s="715">
        <v>19.75</v>
      </c>
      <c r="I48" s="715">
        <v>19.75</v>
      </c>
      <c r="J48" s="715">
        <v>19.75</v>
      </c>
      <c r="K48" s="715">
        <v>19.75</v>
      </c>
      <c r="L48" s="715">
        <v>19.75</v>
      </c>
      <c r="M48" s="715">
        <v>19.75</v>
      </c>
      <c r="N48" s="715">
        <v>19.75</v>
      </c>
      <c r="O48" s="715">
        <v>19.75</v>
      </c>
      <c r="P48" s="715">
        <v>19.75</v>
      </c>
      <c r="Q48" s="716">
        <v>0</v>
      </c>
      <c r="R48" s="717" t="str">
        <f>IFERROR(VLOOKUP($C48,[23]Nod!$A$3:$E$992,4,FALSE)," ")</f>
        <v>CAL115</v>
      </c>
      <c r="S48" s="717">
        <f>IFERROR(VLOOKUP($C48,[23]Nod!$A$3:$E$992,5,FALSE)," ")</f>
        <v>3</v>
      </c>
      <c r="T48" s="723" t="s">
        <v>391</v>
      </c>
      <c r="V48" s="713">
        <v>6005</v>
      </c>
      <c r="W48" s="715">
        <f>+'[24]Resumen Modelo'!G38</f>
        <v>2.11</v>
      </c>
      <c r="X48" s="715">
        <f>+'[24]Resumen Modelo'!H38</f>
        <v>2.12</v>
      </c>
      <c r="Y48" s="715">
        <f>+'[24]Resumen Modelo'!I38</f>
        <v>2.13</v>
      </c>
      <c r="Z48" s="715">
        <f>+'[24]Resumen Modelo'!J38</f>
        <v>2.12</v>
      </c>
      <c r="AA48" s="715">
        <f>+'[24]Resumen Modelo'!K38</f>
        <v>2.13</v>
      </c>
      <c r="AB48" s="715">
        <f>+'[24]Resumen Modelo'!L38</f>
        <v>2.1</v>
      </c>
      <c r="AC48" s="715">
        <f>+'[24]Resumen Modelo'!M38</f>
        <v>2.1</v>
      </c>
      <c r="AD48" s="715">
        <f>+'[24]Resumen Modelo'!N38</f>
        <v>2.1</v>
      </c>
      <c r="AE48" s="715">
        <f>+'[24]Resumen Modelo'!O38</f>
        <v>2.09</v>
      </c>
      <c r="AF48" s="715">
        <f>+'[24]Resumen Modelo'!P38</f>
        <v>2.1</v>
      </c>
      <c r="AG48" s="715">
        <f>+'[24]Resumen Modelo'!Q38</f>
        <v>2.08</v>
      </c>
      <c r="AH48" s="715">
        <f>+'[24]Resumen Modelo'!R38</f>
        <v>2.0699999999999998</v>
      </c>
      <c r="AI48" s="750">
        <f>+MAX(W48:AH48)</f>
        <v>2.13</v>
      </c>
      <c r="AJ48" s="679"/>
      <c r="AK48" s="719" t="s">
        <v>154</v>
      </c>
      <c r="AL48" s="720"/>
      <c r="AM48" s="721"/>
      <c r="AN48" s="722"/>
    </row>
    <row r="49" spans="1:40" ht="15" customHeight="1">
      <c r="A49" s="712" t="s">
        <v>75</v>
      </c>
      <c r="C49" s="713">
        <v>6087</v>
      </c>
      <c r="D49" s="714">
        <v>15.5</v>
      </c>
      <c r="E49" s="715">
        <v>15.5</v>
      </c>
      <c r="F49" s="715">
        <v>15.5</v>
      </c>
      <c r="G49" s="715">
        <v>15.5</v>
      </c>
      <c r="H49" s="715">
        <v>15.5</v>
      </c>
      <c r="I49" s="715">
        <v>15.5</v>
      </c>
      <c r="J49" s="715">
        <v>15.5</v>
      </c>
      <c r="K49" s="715">
        <v>15.5</v>
      </c>
      <c r="L49" s="715">
        <v>15.5</v>
      </c>
      <c r="M49" s="715">
        <v>15.5</v>
      </c>
      <c r="N49" s="715">
        <v>15.5</v>
      </c>
      <c r="O49" s="715">
        <v>15.5</v>
      </c>
      <c r="P49" s="715">
        <v>15.5</v>
      </c>
      <c r="Q49" s="716">
        <v>0</v>
      </c>
      <c r="R49" s="717" t="str">
        <f>IFERROR(VLOOKUP($C49,[23]Nod!$A$3:$E$992,4,FALSE)," ")</f>
        <v>CAL115</v>
      </c>
      <c r="S49" s="717">
        <f>IFERROR(VLOOKUP($C49,[23]Nod!$A$3:$E$992,5,FALSE)," ")</f>
        <v>3</v>
      </c>
      <c r="T49" s="725" t="s">
        <v>146</v>
      </c>
      <c r="U49" s="726"/>
      <c r="V49" s="727"/>
      <c r="W49" s="715">
        <f>+'[24]Resumen Modelo'!G39</f>
        <v>0</v>
      </c>
      <c r="X49" s="715">
        <f>+'[24]Resumen Modelo'!H39</f>
        <v>0</v>
      </c>
      <c r="Y49" s="715">
        <f>+'[24]Resumen Modelo'!I39</f>
        <v>0</v>
      </c>
      <c r="Z49" s="715">
        <f>+'[24]Resumen Modelo'!J39</f>
        <v>0</v>
      </c>
      <c r="AA49" s="715">
        <f>+'[24]Resumen Modelo'!K39</f>
        <v>0</v>
      </c>
      <c r="AB49" s="715">
        <f>+'[24]Resumen Modelo'!L39</f>
        <v>0</v>
      </c>
      <c r="AC49" s="715">
        <f>+'[24]Resumen Modelo'!M39</f>
        <v>0</v>
      </c>
      <c r="AD49" s="715">
        <f>+'[24]Resumen Modelo'!N39</f>
        <v>0</v>
      </c>
      <c r="AE49" s="715">
        <f>+'[24]Resumen Modelo'!O39</f>
        <v>0</v>
      </c>
      <c r="AF49" s="715">
        <f>+'[24]Resumen Modelo'!P39</f>
        <v>0</v>
      </c>
      <c r="AG49" s="715">
        <f>+'[24]Resumen Modelo'!Q39</f>
        <v>0</v>
      </c>
      <c r="AH49" s="715">
        <f>+'[24]Resumen Modelo'!R39</f>
        <v>0</v>
      </c>
      <c r="AI49" s="757"/>
      <c r="AJ49" s="679" t="str">
        <f>IFERROR(VLOOKUP($V42,#REF!,4,FALSE)," ")</f>
        <v xml:space="preserve"> </v>
      </c>
      <c r="AK49" s="724" t="s">
        <v>155</v>
      </c>
      <c r="AL49" s="720"/>
      <c r="AM49" s="721">
        <v>6005</v>
      </c>
      <c r="AN49" s="722">
        <v>0.29932012016500509</v>
      </c>
    </row>
    <row r="50" spans="1:40" ht="15" customHeight="1">
      <c r="A50" s="712" t="s">
        <v>150</v>
      </c>
      <c r="C50" s="713">
        <v>6087</v>
      </c>
      <c r="D50" s="714">
        <v>8.1999999999999993</v>
      </c>
      <c r="E50" s="715">
        <v>8.1999999999999993</v>
      </c>
      <c r="F50" s="715">
        <v>8.1999999999999993</v>
      </c>
      <c r="G50" s="715">
        <v>8.1999999999999993</v>
      </c>
      <c r="H50" s="715">
        <v>8.1999999999999993</v>
      </c>
      <c r="I50" s="715">
        <v>8.1999999999999993</v>
      </c>
      <c r="J50" s="715">
        <v>8.1999999999999993</v>
      </c>
      <c r="K50" s="715">
        <v>8.1999999999999993</v>
      </c>
      <c r="L50" s="715">
        <v>8.1999999999999993</v>
      </c>
      <c r="M50" s="715">
        <v>8.1999999999999993</v>
      </c>
      <c r="N50" s="715">
        <v>8.1999999999999993</v>
      </c>
      <c r="O50" s="715">
        <v>8.1999999999999993</v>
      </c>
      <c r="P50" s="715">
        <v>8.1999999999999993</v>
      </c>
      <c r="Q50" s="716">
        <v>0</v>
      </c>
      <c r="R50" s="717" t="str">
        <f>IFERROR(VLOOKUP($C50,[23]Nod!$A$3:$E$992,4,FALSE)," ")</f>
        <v>CAL115</v>
      </c>
      <c r="S50" s="717">
        <f>IFERROR(VLOOKUP($C50,[23]Nod!$A$3:$E$992,5,FALSE)," ")</f>
        <v>3</v>
      </c>
      <c r="T50" s="749">
        <v>7</v>
      </c>
      <c r="U50" s="703"/>
      <c r="V50" s="704"/>
      <c r="W50" s="742">
        <f>SUM(W52:W67)</f>
        <v>885.24827699999992</v>
      </c>
      <c r="X50" s="742">
        <f>+'[24]Resumen Modelo'!H40</f>
        <v>959.91906199999983</v>
      </c>
      <c r="Y50" s="742">
        <f>+'[24]Resumen Modelo'!I40</f>
        <v>994.09</v>
      </c>
      <c r="Z50" s="742">
        <f>+'[24]Resumen Modelo'!J40</f>
        <v>959.99000000000012</v>
      </c>
      <c r="AA50" s="742">
        <f>+'[24]Resumen Modelo'!K40</f>
        <v>945.60316999999986</v>
      </c>
      <c r="AB50" s="742">
        <f>+'[24]Resumen Modelo'!L40</f>
        <v>983.06346300000007</v>
      </c>
      <c r="AC50" s="742">
        <f>+'[24]Resumen Modelo'!M40</f>
        <v>936.54365600000006</v>
      </c>
      <c r="AD50" s="742">
        <f>+'[24]Resumen Modelo'!N40</f>
        <v>988.36840299999994</v>
      </c>
      <c r="AE50" s="742">
        <f>+'[24]Resumen Modelo'!O40</f>
        <v>990.61628500000006</v>
      </c>
      <c r="AF50" s="742">
        <f>+'[24]Resumen Modelo'!P40</f>
        <v>1014.5791169999999</v>
      </c>
      <c r="AG50" s="742">
        <f>+'[24]Resumen Modelo'!Q40</f>
        <v>1006.6427959999999</v>
      </c>
      <c r="AH50" s="742">
        <f>+'[24]Resumen Modelo'!R40</f>
        <v>971.30811699999992</v>
      </c>
      <c r="AI50" s="742">
        <f>SUM(AI52:AI67)</f>
        <v>1126.7800000000002</v>
      </c>
      <c r="AJ50" s="679" t="str">
        <f>IFERROR(VLOOKUP($V43,#REF!,4,FALSE)," ")</f>
        <v xml:space="preserve"> </v>
      </c>
      <c r="AK50" s="724" t="s">
        <v>391</v>
      </c>
      <c r="AL50" s="720"/>
      <c r="AM50" s="721">
        <v>6005</v>
      </c>
      <c r="AN50" s="722">
        <v>1.0326791743749477</v>
      </c>
    </row>
    <row r="51" spans="1:40" ht="15" customHeight="1">
      <c r="A51" s="712" t="s">
        <v>152</v>
      </c>
      <c r="C51" s="713">
        <v>6087</v>
      </c>
      <c r="D51" s="714">
        <v>9.86</v>
      </c>
      <c r="E51" s="715">
        <v>9.86</v>
      </c>
      <c r="F51" s="715">
        <v>9.86</v>
      </c>
      <c r="G51" s="715">
        <v>9.86</v>
      </c>
      <c r="H51" s="715">
        <v>9.86</v>
      </c>
      <c r="I51" s="715">
        <v>9.86</v>
      </c>
      <c r="J51" s="715">
        <v>9.86</v>
      </c>
      <c r="K51" s="715">
        <v>9.86</v>
      </c>
      <c r="L51" s="715">
        <v>9.86</v>
      </c>
      <c r="M51" s="715">
        <v>9.86</v>
      </c>
      <c r="N51" s="715">
        <v>9.86</v>
      </c>
      <c r="O51" s="715">
        <v>9.86</v>
      </c>
      <c r="P51" s="715">
        <v>9.86</v>
      </c>
      <c r="Q51" s="716">
        <v>0</v>
      </c>
      <c r="R51" s="717" t="str">
        <f>IFERROR(VLOOKUP($C51,[23]Nod!$A$3:$E$992,4,FALSE)," ")</f>
        <v>CAL115</v>
      </c>
      <c r="S51" s="717">
        <f>IFERROR(VLOOKUP($C51,[23]Nod!$A$3:$E$992,5,FALSE)," ")</f>
        <v>3</v>
      </c>
      <c r="T51" s="718" t="s">
        <v>164</v>
      </c>
      <c r="V51" s="713"/>
      <c r="W51" s="715">
        <f>+'[24]Resumen Modelo'!G41</f>
        <v>0</v>
      </c>
      <c r="X51" s="715">
        <f>+'[24]Resumen Modelo'!H41</f>
        <v>0</v>
      </c>
      <c r="Y51" s="715">
        <f>+'[24]Resumen Modelo'!I41</f>
        <v>0</v>
      </c>
      <c r="Z51" s="715">
        <f>+'[24]Resumen Modelo'!J41</f>
        <v>0</v>
      </c>
      <c r="AA51" s="715">
        <f>+'[24]Resumen Modelo'!K41</f>
        <v>0</v>
      </c>
      <c r="AB51" s="715">
        <f>+'[24]Resumen Modelo'!L41</f>
        <v>0</v>
      </c>
      <c r="AC51" s="715">
        <f>+'[24]Resumen Modelo'!M41</f>
        <v>0</v>
      </c>
      <c r="AD51" s="715">
        <f>+'[24]Resumen Modelo'!N41</f>
        <v>0</v>
      </c>
      <c r="AE51" s="715">
        <f>+'[24]Resumen Modelo'!O41</f>
        <v>0</v>
      </c>
      <c r="AF51" s="715">
        <f>+'[24]Resumen Modelo'!P41</f>
        <v>0</v>
      </c>
      <c r="AG51" s="715">
        <f>+'[24]Resumen Modelo'!Q41</f>
        <v>0</v>
      </c>
      <c r="AH51" s="715">
        <f>+'[24]Resumen Modelo'!R41</f>
        <v>0</v>
      </c>
      <c r="AI51" s="750"/>
      <c r="AJ51" s="679" t="str">
        <f>IFERROR(VLOOKUP($V44,#REF!,4,FALSE)," ")</f>
        <v xml:space="preserve"> </v>
      </c>
      <c r="AK51" s="729" t="s">
        <v>146</v>
      </c>
      <c r="AL51" s="730"/>
      <c r="AM51" s="731"/>
      <c r="AN51" s="732"/>
    </row>
    <row r="52" spans="1:40" ht="15" customHeight="1">
      <c r="A52" s="752" t="s">
        <v>146</v>
      </c>
      <c r="C52" s="713"/>
      <c r="D52" s="753"/>
      <c r="E52" s="753"/>
      <c r="F52" s="753"/>
      <c r="G52" s="753"/>
      <c r="H52" s="753"/>
      <c r="I52" s="753"/>
      <c r="J52" s="753"/>
      <c r="K52" s="753"/>
      <c r="L52" s="753"/>
      <c r="M52" s="753"/>
      <c r="N52" s="753"/>
      <c r="O52" s="753"/>
      <c r="P52" s="753"/>
      <c r="Q52" s="716"/>
      <c r="R52" s="717" t="str">
        <f>IFERROR(VLOOKUP($C52,[23]Nod!$A$3:$E$992,4,FALSE)," ")</f>
        <v xml:space="preserve"> </v>
      </c>
      <c r="S52" s="717" t="str">
        <f>IFERROR(VLOOKUP($C52,[23]Nod!$A$3:$E$992,5,FALSE)," ")</f>
        <v xml:space="preserve"> </v>
      </c>
      <c r="T52" s="723" t="s">
        <v>166</v>
      </c>
      <c r="V52" s="713">
        <v>6002</v>
      </c>
      <c r="W52" s="715">
        <f>+'[24]Resumen Modelo'!G42</f>
        <v>156.68</v>
      </c>
      <c r="X52" s="715">
        <f>+'[24]Resumen Modelo'!H42</f>
        <v>197.59</v>
      </c>
      <c r="Y52" s="715">
        <f>+'[24]Resumen Modelo'!I42</f>
        <v>220.1</v>
      </c>
      <c r="Z52" s="715">
        <f>+'[24]Resumen Modelo'!J42</f>
        <v>214.22</v>
      </c>
      <c r="AA52" s="715">
        <f>+'[24]Resumen Modelo'!K42</f>
        <v>201.61</v>
      </c>
      <c r="AB52" s="715">
        <f>+'[24]Resumen Modelo'!L42</f>
        <v>206.85</v>
      </c>
      <c r="AC52" s="715">
        <f>+'[24]Resumen Modelo'!M42</f>
        <v>196.97</v>
      </c>
      <c r="AD52" s="715">
        <f>+'[24]Resumen Modelo'!N42</f>
        <v>234.46</v>
      </c>
      <c r="AE52" s="715">
        <f>+'[24]Resumen Modelo'!O42</f>
        <v>201.8</v>
      </c>
      <c r="AF52" s="715">
        <f>+'[24]Resumen Modelo'!P42</f>
        <v>204.83</v>
      </c>
      <c r="AG52" s="715">
        <f>+'[24]Resumen Modelo'!Q42</f>
        <v>206.8</v>
      </c>
      <c r="AH52" s="715">
        <f>+'[24]Resumen Modelo'!R42</f>
        <v>192.96</v>
      </c>
      <c r="AI52" s="750">
        <f>+MAX(W52:AH52)</f>
        <v>234.46</v>
      </c>
      <c r="AJ52" s="761"/>
      <c r="AK52" s="708">
        <v>7</v>
      </c>
      <c r="AL52" s="709"/>
      <c r="AM52" s="710"/>
      <c r="AN52" s="711">
        <v>1124.3477201625994</v>
      </c>
    </row>
    <row r="53" spans="1:40" ht="15" customHeight="1">
      <c r="A53" s="747">
        <v>4</v>
      </c>
      <c r="B53" s="734"/>
      <c r="C53" s="735"/>
      <c r="D53" s="736">
        <f>SUM(D54:D86)</f>
        <v>449.09100000000001</v>
      </c>
      <c r="E53" s="736">
        <f t="shared" ref="E53:J53" si="8">SUM(E54:E77)</f>
        <v>334.7</v>
      </c>
      <c r="F53" s="736">
        <f t="shared" si="8"/>
        <v>334.7</v>
      </c>
      <c r="G53" s="736">
        <f t="shared" si="8"/>
        <v>334.7</v>
      </c>
      <c r="H53" s="736">
        <f t="shared" si="8"/>
        <v>334.7</v>
      </c>
      <c r="I53" s="736">
        <f t="shared" si="8"/>
        <v>334.7</v>
      </c>
      <c r="J53" s="736">
        <f t="shared" si="8"/>
        <v>334.7</v>
      </c>
      <c r="K53" s="736">
        <f t="shared" ref="K53:P53" si="9">SUM(K54:K77)</f>
        <v>334.7</v>
      </c>
      <c r="L53" s="736">
        <f t="shared" si="9"/>
        <v>334.7</v>
      </c>
      <c r="M53" s="736">
        <f t="shared" si="9"/>
        <v>334.7</v>
      </c>
      <c r="N53" s="736">
        <f t="shared" si="9"/>
        <v>334.7</v>
      </c>
      <c r="O53" s="736">
        <f t="shared" si="9"/>
        <v>333.22</v>
      </c>
      <c r="P53" s="736">
        <f t="shared" si="9"/>
        <v>333.22</v>
      </c>
      <c r="Q53" s="755"/>
      <c r="R53" s="717" t="str">
        <f>IFERROR(VLOOKUP($C53,[23]Nod!$A$3:$E$992,4,FALSE)," ")</f>
        <v xml:space="preserve"> </v>
      </c>
      <c r="S53" s="717" t="str">
        <f>IFERROR(VLOOKUP($C53,[23]Nod!$A$3:$E$992,5,FALSE)," ")</f>
        <v xml:space="preserve"> </v>
      </c>
      <c r="T53" s="723" t="s">
        <v>392</v>
      </c>
      <c r="V53" s="713">
        <v>6004</v>
      </c>
      <c r="W53" s="715">
        <f>+'[24]Resumen Modelo'!G43</f>
        <v>225.18</v>
      </c>
      <c r="X53" s="715">
        <f>+'[24]Resumen Modelo'!H43</f>
        <v>270.56</v>
      </c>
      <c r="Y53" s="715">
        <f>+'[24]Resumen Modelo'!I43</f>
        <v>269.77</v>
      </c>
      <c r="Z53" s="715">
        <f>+'[24]Resumen Modelo'!J43</f>
        <v>259.47000000000003</v>
      </c>
      <c r="AA53" s="715">
        <f>+'[24]Resumen Modelo'!K43</f>
        <v>262.16000000000003</v>
      </c>
      <c r="AB53" s="715">
        <f>+'[24]Resumen Modelo'!L43</f>
        <v>275.49</v>
      </c>
      <c r="AC53" s="715">
        <f>+'[24]Resumen Modelo'!M43</f>
        <v>267.87</v>
      </c>
      <c r="AD53" s="715">
        <f>+'[24]Resumen Modelo'!N43</f>
        <v>270.51</v>
      </c>
      <c r="AE53" s="715">
        <f>+'[24]Resumen Modelo'!O43</f>
        <v>284.16000000000003</v>
      </c>
      <c r="AF53" s="715">
        <f>+'[24]Resumen Modelo'!P43</f>
        <v>308.05</v>
      </c>
      <c r="AG53" s="715">
        <f>+'[24]Resumen Modelo'!Q43</f>
        <v>289.77999999999997</v>
      </c>
      <c r="AH53" s="715">
        <f>+'[24]Resumen Modelo'!R43</f>
        <v>295.33</v>
      </c>
      <c r="AI53" s="750">
        <f t="shared" ref="AI53:AI67" si="10">+MAX(W53:AH53)</f>
        <v>308.05</v>
      </c>
      <c r="AJ53" s="679" t="str">
        <f>IFERROR(VLOOKUP($V46,#REF!,4,FALSE)," ")</f>
        <v xml:space="preserve"> </v>
      </c>
      <c r="AK53" s="719" t="s">
        <v>164</v>
      </c>
      <c r="AL53" s="720"/>
      <c r="AM53" s="721"/>
      <c r="AN53" s="722"/>
    </row>
    <row r="54" spans="1:40" ht="15" customHeight="1">
      <c r="A54" s="712" t="s">
        <v>78</v>
      </c>
      <c r="C54" s="713">
        <v>6380</v>
      </c>
      <c r="D54" s="714">
        <v>10</v>
      </c>
      <c r="E54" s="715">
        <v>10</v>
      </c>
      <c r="F54" s="715">
        <v>10</v>
      </c>
      <c r="G54" s="715">
        <v>10</v>
      </c>
      <c r="H54" s="715">
        <v>10</v>
      </c>
      <c r="I54" s="715">
        <v>10</v>
      </c>
      <c r="J54" s="715">
        <v>10</v>
      </c>
      <c r="K54" s="715">
        <v>10</v>
      </c>
      <c r="L54" s="715">
        <v>10</v>
      </c>
      <c r="M54" s="715">
        <v>10</v>
      </c>
      <c r="N54" s="715">
        <v>10</v>
      </c>
      <c r="O54" s="715">
        <v>10</v>
      </c>
      <c r="P54" s="715">
        <v>10</v>
      </c>
      <c r="Q54" s="716">
        <v>0</v>
      </c>
      <c r="R54" s="717" t="str">
        <f>IFERROR(VLOOKUP($C54,[23]Nod!$A$3:$E$992,4,FALSE)," ")</f>
        <v>BOQIII230</v>
      </c>
      <c r="S54" s="717">
        <f>IFERROR(VLOOKUP($C54,[23]Nod!$A$3:$E$992,5,FALSE)," ")</f>
        <v>4</v>
      </c>
      <c r="T54" s="723" t="s">
        <v>393</v>
      </c>
      <c r="V54" s="713">
        <v>6470</v>
      </c>
      <c r="W54" s="715">
        <f>+'[24]Resumen Modelo'!G44</f>
        <v>63.008277</v>
      </c>
      <c r="X54" s="715">
        <f>+'[24]Resumen Modelo'!H44</f>
        <v>57.199061999999998</v>
      </c>
      <c r="Y54" s="715">
        <f>+'[24]Resumen Modelo'!I44</f>
        <v>67.400000000000006</v>
      </c>
      <c r="Z54" s="715">
        <f>+'[24]Resumen Modelo'!J44</f>
        <v>51.13</v>
      </c>
      <c r="AA54" s="715">
        <f>+'[24]Resumen Modelo'!K44</f>
        <v>55.45317</v>
      </c>
      <c r="AB54" s="715">
        <f>+'[24]Resumen Modelo'!L44</f>
        <v>51.683463000000003</v>
      </c>
      <c r="AC54" s="715">
        <f>+'[24]Resumen Modelo'!M44</f>
        <v>52.453655999999995</v>
      </c>
      <c r="AD54" s="715">
        <f>+'[24]Resumen Modelo'!N44</f>
        <v>53.318403000000004</v>
      </c>
      <c r="AE54" s="715">
        <f>+'[24]Resumen Modelo'!O44</f>
        <v>63.226284999999997</v>
      </c>
      <c r="AF54" s="715">
        <f>+'[24]Resumen Modelo'!P44</f>
        <v>55.339117000000002</v>
      </c>
      <c r="AG54" s="715">
        <f>+'[24]Resumen Modelo'!Q44</f>
        <v>54.922795999999998</v>
      </c>
      <c r="AH54" s="715">
        <f>+'[24]Resumen Modelo'!R44</f>
        <v>53.088116999999997</v>
      </c>
      <c r="AI54" s="750">
        <f t="shared" si="10"/>
        <v>67.400000000000006</v>
      </c>
      <c r="AJ54" s="679" t="str">
        <f>IFERROR(VLOOKUP($V47,#REF!,4,FALSE)," ")</f>
        <v xml:space="preserve"> </v>
      </c>
      <c r="AK54" s="724" t="s">
        <v>166</v>
      </c>
      <c r="AL54" s="720"/>
      <c r="AM54" s="721">
        <v>6002</v>
      </c>
      <c r="AN54" s="722">
        <v>284.75441091273382</v>
      </c>
    </row>
    <row r="55" spans="1:40" ht="15" customHeight="1">
      <c r="A55" s="712" t="s">
        <v>157</v>
      </c>
      <c r="C55" s="713">
        <v>6380</v>
      </c>
      <c r="D55" s="714">
        <v>4.75</v>
      </c>
      <c r="E55" s="715">
        <v>5.25</v>
      </c>
      <c r="F55" s="715">
        <v>5.25</v>
      </c>
      <c r="G55" s="715">
        <v>5.25</v>
      </c>
      <c r="H55" s="715">
        <v>5.25</v>
      </c>
      <c r="I55" s="715">
        <v>5.25</v>
      </c>
      <c r="J55" s="715">
        <v>5.25</v>
      </c>
      <c r="K55" s="715">
        <v>5.25</v>
      </c>
      <c r="L55" s="715">
        <v>5.25</v>
      </c>
      <c r="M55" s="715">
        <v>5.25</v>
      </c>
      <c r="N55" s="715">
        <v>5.25</v>
      </c>
      <c r="O55" s="715">
        <v>5.25</v>
      </c>
      <c r="P55" s="715">
        <v>5.25</v>
      </c>
      <c r="Q55" s="716">
        <v>0</v>
      </c>
      <c r="R55" s="717" t="str">
        <f>IFERROR(VLOOKUP($C55,[23]Nod!$A$3:$E$992,4,FALSE)," ")</f>
        <v>BOQIII230</v>
      </c>
      <c r="S55" s="717">
        <f>IFERROR(VLOOKUP($C55,[23]Nod!$A$3:$E$992,5,FALSE)," ")</f>
        <v>4</v>
      </c>
      <c r="T55" s="723"/>
      <c r="V55" s="713"/>
      <c r="W55" s="715">
        <f>+'[24]Resumen Modelo'!G45</f>
        <v>0</v>
      </c>
      <c r="X55" s="715">
        <f>+'[24]Resumen Modelo'!H45</f>
        <v>0</v>
      </c>
      <c r="Y55" s="715">
        <f>+'[24]Resumen Modelo'!I45</f>
        <v>0</v>
      </c>
      <c r="Z55" s="715">
        <f>+'[24]Resumen Modelo'!J45</f>
        <v>0</v>
      </c>
      <c r="AA55" s="715">
        <f>+'[24]Resumen Modelo'!K45</f>
        <v>0</v>
      </c>
      <c r="AB55" s="715">
        <f>+'[24]Resumen Modelo'!L45</f>
        <v>0</v>
      </c>
      <c r="AC55" s="715">
        <f>+'[24]Resumen Modelo'!M45</f>
        <v>0</v>
      </c>
      <c r="AD55" s="715">
        <f>+'[24]Resumen Modelo'!N45</f>
        <v>0</v>
      </c>
      <c r="AE55" s="715">
        <f>+'[24]Resumen Modelo'!O45</f>
        <v>0</v>
      </c>
      <c r="AF55" s="715">
        <f>+'[24]Resumen Modelo'!P45</f>
        <v>0</v>
      </c>
      <c r="AG55" s="715">
        <f>+'[24]Resumen Modelo'!Q45</f>
        <v>0</v>
      </c>
      <c r="AH55" s="715">
        <f>+'[24]Resumen Modelo'!R45</f>
        <v>0</v>
      </c>
      <c r="AI55" s="750"/>
      <c r="AJ55" s="679" t="str">
        <f>IFERROR(VLOOKUP($V48,#REF!,4,FALSE)," ")</f>
        <v xml:space="preserve"> </v>
      </c>
      <c r="AK55" s="724" t="s">
        <v>392</v>
      </c>
      <c r="AL55" s="720"/>
      <c r="AM55" s="721">
        <v>6004</v>
      </c>
      <c r="AN55" s="722">
        <v>286.16559369218129</v>
      </c>
    </row>
    <row r="56" spans="1:40" ht="15" customHeight="1">
      <c r="A56" s="712" t="s">
        <v>84</v>
      </c>
      <c r="C56" s="713">
        <v>6013</v>
      </c>
      <c r="D56" s="714">
        <v>6.12</v>
      </c>
      <c r="E56" s="715">
        <v>6.12</v>
      </c>
      <c r="F56" s="715">
        <v>6.12</v>
      </c>
      <c r="G56" s="715">
        <v>6.12</v>
      </c>
      <c r="H56" s="715">
        <v>6.12</v>
      </c>
      <c r="I56" s="715">
        <v>6.12</v>
      </c>
      <c r="J56" s="715">
        <v>6.12</v>
      </c>
      <c r="K56" s="715">
        <v>6.12</v>
      </c>
      <c r="L56" s="715">
        <v>6.12</v>
      </c>
      <c r="M56" s="715">
        <v>6.12</v>
      </c>
      <c r="N56" s="715">
        <v>6.12</v>
      </c>
      <c r="O56" s="715">
        <v>6.12</v>
      </c>
      <c r="P56" s="715">
        <v>6.12</v>
      </c>
      <c r="Q56" s="716">
        <v>0</v>
      </c>
      <c r="R56" s="717" t="str">
        <f>IFERROR(VLOOKUP($C56,[23]Nod!$A$3:$E$992,4,FALSE)," ")</f>
        <v>MDN34</v>
      </c>
      <c r="S56" s="717">
        <f>IFERROR(VLOOKUP($C56,[23]Nod!$A$3:$E$992,5,FALSE)," ")</f>
        <v>4</v>
      </c>
      <c r="T56" s="718" t="s">
        <v>151</v>
      </c>
      <c r="V56" s="713"/>
      <c r="W56" s="715">
        <f>+'[24]Resumen Modelo'!G46</f>
        <v>0</v>
      </c>
      <c r="X56" s="715">
        <f>+'[24]Resumen Modelo'!H46</f>
        <v>0</v>
      </c>
      <c r="Y56" s="715">
        <f>+'[24]Resumen Modelo'!I46</f>
        <v>0</v>
      </c>
      <c r="Z56" s="715">
        <f>+'[24]Resumen Modelo'!J46</f>
        <v>0</v>
      </c>
      <c r="AA56" s="715">
        <f>+'[24]Resumen Modelo'!K46</f>
        <v>0</v>
      </c>
      <c r="AB56" s="715">
        <f>+'[24]Resumen Modelo'!L46</f>
        <v>0</v>
      </c>
      <c r="AC56" s="715">
        <f>+'[24]Resumen Modelo'!M46</f>
        <v>0</v>
      </c>
      <c r="AD56" s="715">
        <f>+'[24]Resumen Modelo'!N46</f>
        <v>0</v>
      </c>
      <c r="AE56" s="715">
        <f>+'[24]Resumen Modelo'!O46</f>
        <v>0</v>
      </c>
      <c r="AF56" s="715">
        <f>+'[24]Resumen Modelo'!P46</f>
        <v>0</v>
      </c>
      <c r="AG56" s="715">
        <f>+'[24]Resumen Modelo'!Q46</f>
        <v>0</v>
      </c>
      <c r="AH56" s="715">
        <f>+'[24]Resumen Modelo'!R46</f>
        <v>0</v>
      </c>
      <c r="AI56" s="750"/>
      <c r="AJ56" s="679" t="str">
        <f>IFERROR(VLOOKUP($V49,#REF!,4,FALSE)," ")</f>
        <v xml:space="preserve"> </v>
      </c>
      <c r="AK56" s="724"/>
      <c r="AL56" s="720"/>
      <c r="AM56" s="721"/>
      <c r="AN56" s="722"/>
    </row>
    <row r="57" spans="1:40" ht="15" customHeight="1">
      <c r="A57" s="712" t="s">
        <v>158</v>
      </c>
      <c r="C57" s="713">
        <v>6013</v>
      </c>
      <c r="D57" s="714">
        <v>4.95</v>
      </c>
      <c r="E57" s="715">
        <v>4.95</v>
      </c>
      <c r="F57" s="715">
        <v>4.95</v>
      </c>
      <c r="G57" s="715">
        <v>4.95</v>
      </c>
      <c r="H57" s="715">
        <v>4.95</v>
      </c>
      <c r="I57" s="715">
        <v>4.95</v>
      </c>
      <c r="J57" s="715">
        <v>4.95</v>
      </c>
      <c r="K57" s="715">
        <v>4.95</v>
      </c>
      <c r="L57" s="715">
        <v>4.95</v>
      </c>
      <c r="M57" s="715">
        <v>4.95</v>
      </c>
      <c r="N57" s="715">
        <v>4.95</v>
      </c>
      <c r="O57" s="715">
        <v>4.95</v>
      </c>
      <c r="P57" s="715">
        <v>4.95</v>
      </c>
      <c r="Q57" s="716">
        <v>0</v>
      </c>
      <c r="R57" s="717" t="str">
        <f>IFERROR(VLOOKUP($C57,[23]Nod!$A$3:$E$992,4,FALSE)," ")</f>
        <v>MDN34</v>
      </c>
      <c r="S57" s="717">
        <f>IFERROR(VLOOKUP($C57,[23]Nod!$A$3:$E$992,5,FALSE)," ")</f>
        <v>4</v>
      </c>
      <c r="T57" s="723" t="s">
        <v>166</v>
      </c>
      <c r="V57" s="713">
        <v>6002</v>
      </c>
      <c r="W57" s="750">
        <f>+'[24]Resumen Modelo'!G47</f>
        <v>411.89</v>
      </c>
      <c r="X57" s="750">
        <f>+'[24]Resumen Modelo'!H47</f>
        <v>409.8</v>
      </c>
      <c r="Y57" s="750">
        <f>+'[24]Resumen Modelo'!I47</f>
        <v>411.8</v>
      </c>
      <c r="Z57" s="750">
        <f>+'[24]Resumen Modelo'!J47</f>
        <v>410.14</v>
      </c>
      <c r="AA57" s="750">
        <f>+'[24]Resumen Modelo'!K47</f>
        <v>401.64</v>
      </c>
      <c r="AB57" s="750">
        <f>+'[24]Resumen Modelo'!L47</f>
        <v>411.4</v>
      </c>
      <c r="AC57" s="750">
        <f>+'[24]Resumen Modelo'!M47</f>
        <v>398.15</v>
      </c>
      <c r="AD57" s="750">
        <f>+'[24]Resumen Modelo'!N47</f>
        <v>409.06</v>
      </c>
      <c r="AE57" s="750">
        <f>+'[24]Resumen Modelo'!O47</f>
        <v>418.17</v>
      </c>
      <c r="AF57" s="750">
        <f>+'[24]Resumen Modelo'!P47</f>
        <v>424.91</v>
      </c>
      <c r="AG57" s="750">
        <f>+'[24]Resumen Modelo'!Q47</f>
        <v>433.52</v>
      </c>
      <c r="AH57" s="750">
        <f>+'[24]Resumen Modelo'!R47</f>
        <v>408.09</v>
      </c>
      <c r="AI57" s="750">
        <f t="shared" si="10"/>
        <v>433.52</v>
      </c>
      <c r="AJ57" s="679" t="str">
        <f>IFERROR(VLOOKUP($V50,#REF!,4,FALSE)," ")</f>
        <v xml:space="preserve"> </v>
      </c>
      <c r="AK57" s="719" t="s">
        <v>151</v>
      </c>
      <c r="AL57" s="720"/>
      <c r="AM57" s="721"/>
      <c r="AN57" s="722"/>
    </row>
    <row r="58" spans="1:40" ht="15" customHeight="1">
      <c r="A58" s="712" t="s">
        <v>77</v>
      </c>
      <c r="C58" s="713">
        <v>6380</v>
      </c>
      <c r="D58" s="714">
        <v>20</v>
      </c>
      <c r="E58" s="715">
        <v>20</v>
      </c>
      <c r="F58" s="715">
        <v>20</v>
      </c>
      <c r="G58" s="715">
        <v>20</v>
      </c>
      <c r="H58" s="715">
        <v>20</v>
      </c>
      <c r="I58" s="715">
        <v>20</v>
      </c>
      <c r="J58" s="715">
        <v>20</v>
      </c>
      <c r="K58" s="715">
        <v>20</v>
      </c>
      <c r="L58" s="715">
        <v>20</v>
      </c>
      <c r="M58" s="715">
        <v>20</v>
      </c>
      <c r="N58" s="715">
        <v>20</v>
      </c>
      <c r="O58" s="715">
        <v>20</v>
      </c>
      <c r="P58" s="715">
        <v>20</v>
      </c>
      <c r="Q58" s="716">
        <v>0</v>
      </c>
      <c r="R58" s="717" t="str">
        <f>IFERROR(VLOOKUP($C58,[23]Nod!$A$3:$E$992,4,FALSE)," ")</f>
        <v>BOQIII230</v>
      </c>
      <c r="S58" s="717">
        <f>IFERROR(VLOOKUP($C58,[23]Nod!$A$3:$E$992,5,FALSE)," ")</f>
        <v>4</v>
      </c>
      <c r="T58" s="718" t="s">
        <v>154</v>
      </c>
      <c r="V58" s="713"/>
      <c r="W58" s="715">
        <f>+'[24]Resumen Modelo'!G48</f>
        <v>0</v>
      </c>
      <c r="X58" s="715">
        <f>+'[24]Resumen Modelo'!H48</f>
        <v>0</v>
      </c>
      <c r="Y58" s="715">
        <f>+'[24]Resumen Modelo'!I48</f>
        <v>0</v>
      </c>
      <c r="Z58" s="715">
        <f>+'[24]Resumen Modelo'!J48</f>
        <v>0</v>
      </c>
      <c r="AA58" s="715">
        <f>+'[24]Resumen Modelo'!K48</f>
        <v>0</v>
      </c>
      <c r="AB58" s="715">
        <f>+'[24]Resumen Modelo'!L48</f>
        <v>0</v>
      </c>
      <c r="AC58" s="715">
        <f>+'[24]Resumen Modelo'!M48</f>
        <v>0</v>
      </c>
      <c r="AD58" s="715">
        <f>+'[24]Resumen Modelo'!N48</f>
        <v>0</v>
      </c>
      <c r="AE58" s="715">
        <f>+'[24]Resumen Modelo'!O48</f>
        <v>0</v>
      </c>
      <c r="AF58" s="715">
        <f>+'[24]Resumen Modelo'!P48</f>
        <v>0</v>
      </c>
      <c r="AG58" s="715">
        <f>+'[24]Resumen Modelo'!Q48</f>
        <v>0</v>
      </c>
      <c r="AH58" s="715">
        <f>+'[24]Resumen Modelo'!R48</f>
        <v>0</v>
      </c>
      <c r="AI58" s="750"/>
      <c r="AJ58" s="679" t="str">
        <f>IFERROR(VLOOKUP($V51,#REF!,4,FALSE)," ")</f>
        <v xml:space="preserve"> </v>
      </c>
      <c r="AK58" s="724" t="s">
        <v>166</v>
      </c>
      <c r="AL58" s="720"/>
      <c r="AM58" s="721">
        <v>6002</v>
      </c>
      <c r="AN58" s="722">
        <v>517.89</v>
      </c>
    </row>
    <row r="59" spans="1:40" ht="15" customHeight="1">
      <c r="A59" s="712" t="s">
        <v>160</v>
      </c>
      <c r="C59" s="713">
        <v>6380</v>
      </c>
      <c r="D59" s="714">
        <v>14</v>
      </c>
      <c r="E59" s="715">
        <v>14</v>
      </c>
      <c r="F59" s="715">
        <v>14</v>
      </c>
      <c r="G59" s="715">
        <v>14</v>
      </c>
      <c r="H59" s="715">
        <v>14</v>
      </c>
      <c r="I59" s="715">
        <v>14</v>
      </c>
      <c r="J59" s="715">
        <v>14</v>
      </c>
      <c r="K59" s="715">
        <v>14</v>
      </c>
      <c r="L59" s="715">
        <v>14</v>
      </c>
      <c r="M59" s="715">
        <v>14</v>
      </c>
      <c r="N59" s="715">
        <v>14</v>
      </c>
      <c r="O59" s="715">
        <v>12.52</v>
      </c>
      <c r="P59" s="715">
        <v>12.52</v>
      </c>
      <c r="Q59" s="716">
        <v>0</v>
      </c>
      <c r="R59" s="717" t="str">
        <f>IFERROR(VLOOKUP($C59,[23]Nod!$A$3:$E$992,4,FALSE)," ")</f>
        <v>BOQIII230</v>
      </c>
      <c r="S59" s="717">
        <f>IFERROR(VLOOKUP($C59,[23]Nod!$A$3:$E$992,5,FALSE)," ")</f>
        <v>4</v>
      </c>
      <c r="T59" s="723" t="s">
        <v>170</v>
      </c>
      <c r="V59" s="713">
        <v>6024</v>
      </c>
      <c r="W59" s="715">
        <f>+'[24]Resumen Modelo'!G49</f>
        <v>18.649999999999999</v>
      </c>
      <c r="X59" s="715">
        <f>+'[24]Resumen Modelo'!H49</f>
        <v>15.14</v>
      </c>
      <c r="Y59" s="715">
        <f>+'[24]Resumen Modelo'!I49</f>
        <v>15.31</v>
      </c>
      <c r="Z59" s="715">
        <f>+'[24]Resumen Modelo'!J49</f>
        <v>15.36</v>
      </c>
      <c r="AA59" s="715">
        <f>+'[24]Resumen Modelo'!K49</f>
        <v>15.05</v>
      </c>
      <c r="AB59" s="715">
        <f>+'[24]Resumen Modelo'!L49</f>
        <v>27.89</v>
      </c>
      <c r="AC59" s="715">
        <f>+'[24]Resumen Modelo'!M49</f>
        <v>14.23</v>
      </c>
      <c r="AD59" s="715">
        <f>+'[24]Resumen Modelo'!N49</f>
        <v>14.11</v>
      </c>
      <c r="AE59" s="715">
        <f>+'[24]Resumen Modelo'!O49</f>
        <v>16.34</v>
      </c>
      <c r="AF59" s="715">
        <f>+'[24]Resumen Modelo'!P49</f>
        <v>14.51</v>
      </c>
      <c r="AG59" s="715">
        <f>+'[24]Resumen Modelo'!Q49</f>
        <v>14.52</v>
      </c>
      <c r="AH59" s="715">
        <f>+'[24]Resumen Modelo'!R49</f>
        <v>14.93</v>
      </c>
      <c r="AI59" s="750">
        <f t="shared" si="10"/>
        <v>27.89</v>
      </c>
      <c r="AJ59" s="679"/>
      <c r="AK59" s="719" t="s">
        <v>154</v>
      </c>
      <c r="AL59" s="720"/>
      <c r="AM59" s="721"/>
      <c r="AN59" s="722"/>
    </row>
    <row r="60" spans="1:40" ht="15" customHeight="1">
      <c r="A60" s="712" t="s">
        <v>161</v>
      </c>
      <c r="C60" s="713">
        <v>6380</v>
      </c>
      <c r="D60" s="714">
        <v>14</v>
      </c>
      <c r="E60" s="715">
        <v>14</v>
      </c>
      <c r="F60" s="715">
        <v>14</v>
      </c>
      <c r="G60" s="715">
        <v>14</v>
      </c>
      <c r="H60" s="715">
        <v>14</v>
      </c>
      <c r="I60" s="715">
        <v>14</v>
      </c>
      <c r="J60" s="715">
        <v>14</v>
      </c>
      <c r="K60" s="715">
        <v>14</v>
      </c>
      <c r="L60" s="715">
        <v>14</v>
      </c>
      <c r="M60" s="715">
        <v>14</v>
      </c>
      <c r="N60" s="715">
        <v>14</v>
      </c>
      <c r="O60" s="715">
        <v>14</v>
      </c>
      <c r="P60" s="715">
        <v>14</v>
      </c>
      <c r="Q60" s="716">
        <v>0</v>
      </c>
      <c r="R60" s="717" t="str">
        <f>IFERROR(VLOOKUP($C60,[23]Nod!$A$3:$E$992,4,FALSE)," ")</f>
        <v>BOQIII230</v>
      </c>
      <c r="S60" s="717">
        <f>IFERROR(VLOOKUP($C60,[23]Nod!$A$3:$E$992,5,FALSE)," ")</f>
        <v>4</v>
      </c>
      <c r="T60" s="723" t="s">
        <v>174</v>
      </c>
      <c r="V60" s="713">
        <v>6002</v>
      </c>
      <c r="W60" s="715">
        <f>+'[24]Resumen Modelo'!G50</f>
        <v>0.76</v>
      </c>
      <c r="X60" s="715">
        <f>+'[24]Resumen Modelo'!H50</f>
        <v>0.76</v>
      </c>
      <c r="Y60" s="715">
        <f>+'[24]Resumen Modelo'!I50</f>
        <v>0.74</v>
      </c>
      <c r="Z60" s="715">
        <f>+'[24]Resumen Modelo'!J50</f>
        <v>0.75</v>
      </c>
      <c r="AA60" s="715">
        <f>+'[24]Resumen Modelo'!K50</f>
        <v>0.73</v>
      </c>
      <c r="AB60" s="715">
        <f>+'[24]Resumen Modelo'!L50</f>
        <v>0.74</v>
      </c>
      <c r="AC60" s="715">
        <f>+'[24]Resumen Modelo'!M50</f>
        <v>0.74</v>
      </c>
      <c r="AD60" s="715">
        <f>+'[24]Resumen Modelo'!N50</f>
        <v>0.74</v>
      </c>
      <c r="AE60" s="715">
        <f>+'[24]Resumen Modelo'!O50</f>
        <v>0.75</v>
      </c>
      <c r="AF60" s="715">
        <f>+'[24]Resumen Modelo'!P50</f>
        <v>0.76</v>
      </c>
      <c r="AG60" s="715">
        <f>+'[24]Resumen Modelo'!Q50</f>
        <v>0.81</v>
      </c>
      <c r="AH60" s="715">
        <f>+'[24]Resumen Modelo'!R50</f>
        <v>0.72</v>
      </c>
      <c r="AI60" s="750">
        <f t="shared" si="10"/>
        <v>0.81</v>
      </c>
      <c r="AJ60" s="679" t="str">
        <f>IFERROR(VLOOKUP($V52,#REF!,4,FALSE)," ")</f>
        <v xml:space="preserve"> </v>
      </c>
      <c r="AK60" s="724" t="s">
        <v>170</v>
      </c>
      <c r="AL60" s="720"/>
      <c r="AM60" s="721">
        <v>6024</v>
      </c>
      <c r="AN60" s="722">
        <v>24.14123591370431</v>
      </c>
    </row>
    <row r="61" spans="1:40" ht="15" customHeight="1">
      <c r="A61" s="762" t="s">
        <v>0</v>
      </c>
      <c r="C61" s="763">
        <v>6013</v>
      </c>
      <c r="D61" s="714">
        <v>2.5</v>
      </c>
      <c r="E61" s="715">
        <v>0</v>
      </c>
      <c r="F61" s="715">
        <v>0</v>
      </c>
      <c r="G61" s="715">
        <v>0</v>
      </c>
      <c r="H61" s="715">
        <v>0</v>
      </c>
      <c r="I61" s="715">
        <v>0</v>
      </c>
      <c r="J61" s="715">
        <v>0</v>
      </c>
      <c r="K61" s="715">
        <v>0</v>
      </c>
      <c r="L61" s="715">
        <v>0</v>
      </c>
      <c r="M61" s="715">
        <v>0</v>
      </c>
      <c r="N61" s="715">
        <v>0</v>
      </c>
      <c r="O61" s="715">
        <v>0</v>
      </c>
      <c r="P61" s="715">
        <v>0</v>
      </c>
      <c r="Q61" s="741">
        <v>13</v>
      </c>
      <c r="R61" s="717" t="str">
        <f>IFERROR(VLOOKUP($C61,[23]Nod!$A$3:$E$992,4,FALSE)," ")</f>
        <v>MDN34</v>
      </c>
      <c r="S61" s="717">
        <f>IFERROR(VLOOKUP($C61,[23]Nod!$A$3:$E$992,5,FALSE)," ")</f>
        <v>4</v>
      </c>
      <c r="T61" s="723" t="s">
        <v>155</v>
      </c>
      <c r="V61" s="713">
        <v>6002</v>
      </c>
      <c r="W61" s="715">
        <f>+'[24]Resumen Modelo'!G51</f>
        <v>3.4299999999999997</v>
      </c>
      <c r="X61" s="715">
        <f>+'[24]Resumen Modelo'!H51</f>
        <v>3.3100000000000005</v>
      </c>
      <c r="Y61" s="715">
        <f>+'[24]Resumen Modelo'!I51</f>
        <v>3.37</v>
      </c>
      <c r="Z61" s="715">
        <f>+'[24]Resumen Modelo'!J51</f>
        <v>3.3200000000000003</v>
      </c>
      <c r="AA61" s="715">
        <f>+'[24]Resumen Modelo'!K51</f>
        <v>3.2800000000000007</v>
      </c>
      <c r="AB61" s="715">
        <f>+'[24]Resumen Modelo'!L51</f>
        <v>3.38</v>
      </c>
      <c r="AC61" s="715">
        <f>+'[24]Resumen Modelo'!M51</f>
        <v>3.25</v>
      </c>
      <c r="AD61" s="715">
        <f>+'[24]Resumen Modelo'!N51</f>
        <v>3.2800000000000002</v>
      </c>
      <c r="AE61" s="715">
        <f>+'[24]Resumen Modelo'!O51</f>
        <v>3.27</v>
      </c>
      <c r="AF61" s="715">
        <f>+'[24]Resumen Modelo'!P51</f>
        <v>3.3100000000000005</v>
      </c>
      <c r="AG61" s="715">
        <f>+'[24]Resumen Modelo'!Q51</f>
        <v>3.2900000000000005</v>
      </c>
      <c r="AH61" s="715">
        <f>+'[24]Resumen Modelo'!R51</f>
        <v>3.2300000000000004</v>
      </c>
      <c r="AI61" s="750">
        <f t="shared" si="10"/>
        <v>3.4299999999999997</v>
      </c>
      <c r="AJ61" s="679" t="str">
        <f>IFERROR(VLOOKUP($V53,#REF!,4,FALSE)," ")</f>
        <v xml:space="preserve"> </v>
      </c>
      <c r="AK61" s="724" t="s">
        <v>174</v>
      </c>
      <c r="AL61" s="720"/>
      <c r="AM61" s="721">
        <v>6002</v>
      </c>
      <c r="AN61" s="722">
        <v>1.1599999999999999</v>
      </c>
    </row>
    <row r="62" spans="1:40" ht="15" customHeight="1">
      <c r="A62" s="762" t="s">
        <v>1</v>
      </c>
      <c r="C62" s="763">
        <v>6013</v>
      </c>
      <c r="D62" s="714">
        <v>3.12</v>
      </c>
      <c r="E62" s="715">
        <v>0</v>
      </c>
      <c r="F62" s="715">
        <v>0</v>
      </c>
      <c r="G62" s="715">
        <v>0</v>
      </c>
      <c r="H62" s="715">
        <v>0</v>
      </c>
      <c r="I62" s="715">
        <v>0</v>
      </c>
      <c r="J62" s="715">
        <v>0</v>
      </c>
      <c r="K62" s="715">
        <v>0</v>
      </c>
      <c r="L62" s="715">
        <v>0</v>
      </c>
      <c r="M62" s="715">
        <v>0</v>
      </c>
      <c r="N62" s="715">
        <v>0</v>
      </c>
      <c r="O62" s="715">
        <v>0</v>
      </c>
      <c r="P62" s="715">
        <v>0</v>
      </c>
      <c r="Q62" s="741">
        <v>13</v>
      </c>
      <c r="R62" s="717" t="str">
        <f>IFERROR(VLOOKUP($C62,[23]Nod!$A$3:$E$992,4,FALSE)," ")</f>
        <v>MDN34</v>
      </c>
      <c r="S62" s="717">
        <f>IFERROR(VLOOKUP($C62,[23]Nod!$A$3:$E$992,5,FALSE)," ")</f>
        <v>4</v>
      </c>
      <c r="T62" s="723" t="s">
        <v>176</v>
      </c>
      <c r="V62" s="713">
        <v>6002</v>
      </c>
      <c r="W62" s="715">
        <f>+'[24]Resumen Modelo'!G52</f>
        <v>1.2</v>
      </c>
      <c r="X62" s="715">
        <f>+'[24]Resumen Modelo'!H52</f>
        <v>1.1599999999999999</v>
      </c>
      <c r="Y62" s="715">
        <f>+'[24]Resumen Modelo'!I52</f>
        <v>1.19</v>
      </c>
      <c r="Z62" s="715">
        <f>+'[24]Resumen Modelo'!J52</f>
        <v>1.18</v>
      </c>
      <c r="AA62" s="715">
        <f>+'[24]Resumen Modelo'!K52</f>
        <v>1.17</v>
      </c>
      <c r="AB62" s="715">
        <f>+'[24]Resumen Modelo'!L52</f>
        <v>1.2</v>
      </c>
      <c r="AC62" s="715">
        <f>+'[24]Resumen Modelo'!M52</f>
        <v>1.2</v>
      </c>
      <c r="AD62" s="715">
        <f>+'[24]Resumen Modelo'!N52</f>
        <v>1.22</v>
      </c>
      <c r="AE62" s="715">
        <f>+'[24]Resumen Modelo'!O52</f>
        <v>1.22</v>
      </c>
      <c r="AF62" s="715">
        <f>+'[24]Resumen Modelo'!P52</f>
        <v>1.22</v>
      </c>
      <c r="AG62" s="715">
        <f>+'[24]Resumen Modelo'!Q52</f>
        <v>1.25</v>
      </c>
      <c r="AH62" s="715">
        <f>+'[24]Resumen Modelo'!R52</f>
        <v>1.24</v>
      </c>
      <c r="AI62" s="750">
        <f>SUM(W62:AH62)</f>
        <v>14.450000000000001</v>
      </c>
      <c r="AJ62" s="679"/>
      <c r="AK62" s="724" t="s">
        <v>155</v>
      </c>
      <c r="AL62" s="720"/>
      <c r="AM62" s="721">
        <v>6002</v>
      </c>
      <c r="AN62" s="722">
        <v>3.9782919721040182</v>
      </c>
    </row>
    <row r="63" spans="1:40" ht="15" customHeight="1">
      <c r="A63" s="712" t="s">
        <v>163</v>
      </c>
      <c r="C63" s="713">
        <v>6380</v>
      </c>
      <c r="D63" s="714">
        <v>10</v>
      </c>
      <c r="E63" s="715">
        <v>10</v>
      </c>
      <c r="F63" s="715">
        <v>10</v>
      </c>
      <c r="G63" s="715">
        <v>10</v>
      </c>
      <c r="H63" s="715">
        <v>10</v>
      </c>
      <c r="I63" s="715">
        <v>10</v>
      </c>
      <c r="J63" s="715">
        <v>10</v>
      </c>
      <c r="K63" s="715">
        <v>10</v>
      </c>
      <c r="L63" s="715">
        <v>10</v>
      </c>
      <c r="M63" s="715">
        <v>10</v>
      </c>
      <c r="N63" s="715">
        <v>10</v>
      </c>
      <c r="O63" s="715">
        <v>10</v>
      </c>
      <c r="P63" s="715">
        <v>10</v>
      </c>
      <c r="Q63" s="716">
        <v>0</v>
      </c>
      <c r="R63" s="717" t="str">
        <f>IFERROR(VLOOKUP($C63,[23]Nod!$A$3:$E$992,4,FALSE)," ")</f>
        <v>BOQIII230</v>
      </c>
      <c r="S63" s="717">
        <f>IFERROR(VLOOKUP($C63,[23]Nod!$A$3:$E$992,5,FALSE)," ")</f>
        <v>4</v>
      </c>
      <c r="T63" s="723" t="s">
        <v>394</v>
      </c>
      <c r="V63" s="713">
        <v>6002</v>
      </c>
      <c r="W63" s="715">
        <f>+'[24]Resumen Modelo'!G53</f>
        <v>0.15</v>
      </c>
      <c r="X63" s="715">
        <f>+'[24]Resumen Modelo'!H53</f>
        <v>0.15</v>
      </c>
      <c r="Y63" s="715">
        <f>+'[24]Resumen Modelo'!I53</f>
        <v>0.15</v>
      </c>
      <c r="Z63" s="715">
        <f>+'[24]Resumen Modelo'!J53</f>
        <v>0.15</v>
      </c>
      <c r="AA63" s="715">
        <f>+'[24]Resumen Modelo'!K53</f>
        <v>0.17</v>
      </c>
      <c r="AB63" s="715">
        <f>+'[24]Resumen Modelo'!L53</f>
        <v>0.16</v>
      </c>
      <c r="AC63" s="715">
        <f>+'[24]Resumen Modelo'!M53</f>
        <v>0.16</v>
      </c>
      <c r="AD63" s="715">
        <f>+'[24]Resumen Modelo'!N53</f>
        <v>0.17</v>
      </c>
      <c r="AE63" s="715">
        <f>+'[24]Resumen Modelo'!O53</f>
        <v>0.16</v>
      </c>
      <c r="AF63" s="715">
        <f>+'[24]Resumen Modelo'!P53</f>
        <v>0.16</v>
      </c>
      <c r="AG63" s="715">
        <f>+'[24]Resumen Modelo'!Q53</f>
        <v>0.16</v>
      </c>
      <c r="AH63" s="715">
        <f>+'[24]Resumen Modelo'!R53</f>
        <v>0.15</v>
      </c>
      <c r="AI63" s="750">
        <f>SUM(W63:AH63)</f>
        <v>1.8899999999999997</v>
      </c>
      <c r="AJ63" s="679" t="str">
        <f>IFERROR(VLOOKUP($V55,#REF!,4,FALSE)," ")</f>
        <v xml:space="preserve"> </v>
      </c>
      <c r="AK63" s="724" t="s">
        <v>176</v>
      </c>
      <c r="AL63" s="720"/>
      <c r="AM63" s="721">
        <v>6002</v>
      </c>
      <c r="AN63" s="722">
        <v>0.91532859317102244</v>
      </c>
    </row>
    <row r="64" spans="1:40" ht="15" customHeight="1">
      <c r="A64" s="712" t="s">
        <v>165</v>
      </c>
      <c r="C64" s="713">
        <v>6380</v>
      </c>
      <c r="D64" s="714">
        <v>10</v>
      </c>
      <c r="E64" s="715">
        <v>10</v>
      </c>
      <c r="F64" s="715">
        <v>10</v>
      </c>
      <c r="G64" s="715">
        <v>10</v>
      </c>
      <c r="H64" s="715">
        <v>10</v>
      </c>
      <c r="I64" s="715">
        <v>10</v>
      </c>
      <c r="J64" s="715">
        <v>10</v>
      </c>
      <c r="K64" s="715">
        <v>10</v>
      </c>
      <c r="L64" s="715">
        <v>10</v>
      </c>
      <c r="M64" s="715">
        <v>10</v>
      </c>
      <c r="N64" s="715">
        <v>10</v>
      </c>
      <c r="O64" s="715">
        <v>10</v>
      </c>
      <c r="P64" s="715">
        <v>10</v>
      </c>
      <c r="Q64" s="716">
        <v>0</v>
      </c>
      <c r="R64" s="717" t="str">
        <f>IFERROR(VLOOKUP($C64,[23]Nod!$A$3:$E$992,4,FALSE)," ")</f>
        <v>BOQIII230</v>
      </c>
      <c r="S64" s="717">
        <f>IFERROR(VLOOKUP($C64,[23]Nod!$A$3:$E$992,5,FALSE)," ")</f>
        <v>4</v>
      </c>
      <c r="T64" s="723" t="s">
        <v>395</v>
      </c>
      <c r="V64" s="713">
        <v>6002</v>
      </c>
      <c r="W64" s="715">
        <f>+'[24]Resumen Modelo'!G54</f>
        <v>1.18</v>
      </c>
      <c r="X64" s="715">
        <f>+'[24]Resumen Modelo'!H54</f>
        <v>1.1599999999999999</v>
      </c>
      <c r="Y64" s="715">
        <f>+'[24]Resumen Modelo'!I54</f>
        <v>1.2</v>
      </c>
      <c r="Z64" s="715">
        <f>+'[24]Resumen Modelo'!J54</f>
        <v>1.2</v>
      </c>
      <c r="AA64" s="715">
        <f>+'[24]Resumen Modelo'!K54</f>
        <v>1.29</v>
      </c>
      <c r="AB64" s="715">
        <f>+'[24]Resumen Modelo'!L54</f>
        <v>1.21</v>
      </c>
      <c r="AC64" s="715">
        <f>+'[24]Resumen Modelo'!M54</f>
        <v>1.17</v>
      </c>
      <c r="AD64" s="715">
        <f>+'[24]Resumen Modelo'!N54</f>
        <v>1.18</v>
      </c>
      <c r="AE64" s="715">
        <f>+'[24]Resumen Modelo'!O54</f>
        <v>1.1599999999999999</v>
      </c>
      <c r="AF64" s="715">
        <f>+'[24]Resumen Modelo'!P54</f>
        <v>1.1599999999999999</v>
      </c>
      <c r="AG64" s="715">
        <f>+'[24]Resumen Modelo'!Q54</f>
        <v>1.25</v>
      </c>
      <c r="AH64" s="715">
        <f>+'[24]Resumen Modelo'!R54</f>
        <v>1.2</v>
      </c>
      <c r="AI64" s="750">
        <f>SUM(W64:AH64)</f>
        <v>14.36</v>
      </c>
      <c r="AJ64" s="679" t="str">
        <f>IFERROR(VLOOKUP($V56,#REF!,4,FALSE)," ")</f>
        <v xml:space="preserve"> </v>
      </c>
      <c r="AK64" s="724" t="s">
        <v>394</v>
      </c>
      <c r="AL64" s="720"/>
      <c r="AM64" s="721">
        <v>6002</v>
      </c>
      <c r="AN64" s="722">
        <v>0.16502931546830643</v>
      </c>
    </row>
    <row r="65" spans="1:40" ht="15" customHeight="1">
      <c r="A65" s="712" t="s">
        <v>168</v>
      </c>
      <c r="C65" s="713">
        <v>6013</v>
      </c>
      <c r="D65" s="714">
        <v>8.1199999999999992</v>
      </c>
      <c r="E65" s="715">
        <v>8.1199999999999992</v>
      </c>
      <c r="F65" s="715">
        <v>8.1199999999999992</v>
      </c>
      <c r="G65" s="715">
        <v>8.1199999999999992</v>
      </c>
      <c r="H65" s="715">
        <v>8.1199999999999992</v>
      </c>
      <c r="I65" s="715">
        <v>8.1199999999999992</v>
      </c>
      <c r="J65" s="715">
        <v>8.1199999999999992</v>
      </c>
      <c r="K65" s="715">
        <v>8.1199999999999992</v>
      </c>
      <c r="L65" s="715">
        <v>8.1199999999999992</v>
      </c>
      <c r="M65" s="715">
        <v>8.1199999999999992</v>
      </c>
      <c r="N65" s="715">
        <v>8.1199999999999992</v>
      </c>
      <c r="O65" s="715">
        <v>8.1199999999999992</v>
      </c>
      <c r="P65" s="715">
        <v>8.1199999999999992</v>
      </c>
      <c r="Q65" s="716">
        <v>0</v>
      </c>
      <c r="R65" s="717" t="str">
        <f>IFERROR(VLOOKUP($C65,[23]Nod!$A$3:$E$992,4,FALSE)," ")</f>
        <v>MDN34</v>
      </c>
      <c r="S65" s="717">
        <f>IFERROR(VLOOKUP($C65,[23]Nod!$A$3:$E$992,5,FALSE)," ")</f>
        <v>4</v>
      </c>
      <c r="T65" s="723" t="s">
        <v>396</v>
      </c>
      <c r="V65" s="713">
        <v>6002</v>
      </c>
      <c r="W65" s="715">
        <f>+'[24]Resumen Modelo'!G55</f>
        <v>2.79</v>
      </c>
      <c r="X65" s="715">
        <f>+'[24]Resumen Modelo'!H55</f>
        <v>2.75</v>
      </c>
      <c r="Y65" s="715">
        <f>+'[24]Resumen Modelo'!I55</f>
        <v>2.71</v>
      </c>
      <c r="Z65" s="715">
        <f>+'[24]Resumen Modelo'!J55</f>
        <v>2.71</v>
      </c>
      <c r="AA65" s="715">
        <f>+'[24]Resumen Modelo'!K55</f>
        <v>2.71</v>
      </c>
      <c r="AB65" s="715">
        <f>+'[24]Resumen Modelo'!L55</f>
        <v>2.72</v>
      </c>
      <c r="AC65" s="715">
        <f>+'[24]Resumen Modelo'!M55</f>
        <v>0</v>
      </c>
      <c r="AD65" s="715">
        <f>+'[24]Resumen Modelo'!N55</f>
        <v>0</v>
      </c>
      <c r="AE65" s="715">
        <f>+'[24]Resumen Modelo'!O55</f>
        <v>0</v>
      </c>
      <c r="AF65" s="715">
        <f>+'[24]Resumen Modelo'!P55</f>
        <v>0</v>
      </c>
      <c r="AG65" s="715">
        <f>+'[24]Resumen Modelo'!Q55</f>
        <v>0</v>
      </c>
      <c r="AH65" s="715">
        <f>+'[24]Resumen Modelo'!R55</f>
        <v>0</v>
      </c>
      <c r="AI65" s="750">
        <f>SUM(W65:AH65)</f>
        <v>16.39</v>
      </c>
      <c r="AJ65" s="679" t="str">
        <f>IFERROR(VLOOKUP($V57,#REF!,4,FALSE)," ")</f>
        <v xml:space="preserve"> </v>
      </c>
      <c r="AK65" s="724" t="s">
        <v>395</v>
      </c>
      <c r="AL65" s="720"/>
      <c r="AM65" s="721">
        <v>6002</v>
      </c>
      <c r="AN65" s="722">
        <v>1.3409961685823757</v>
      </c>
    </row>
    <row r="66" spans="1:40" ht="15" customHeight="1">
      <c r="A66" s="762" t="s">
        <v>81</v>
      </c>
      <c r="C66" s="713">
        <v>6182</v>
      </c>
      <c r="D66" s="714">
        <v>51.65</v>
      </c>
      <c r="E66" s="715">
        <v>51.65</v>
      </c>
      <c r="F66" s="715">
        <v>51.65</v>
      </c>
      <c r="G66" s="715">
        <v>51.65</v>
      </c>
      <c r="H66" s="715">
        <v>51.65</v>
      </c>
      <c r="I66" s="715">
        <v>51.65</v>
      </c>
      <c r="J66" s="715">
        <v>51.65</v>
      </c>
      <c r="K66" s="715">
        <v>51.65</v>
      </c>
      <c r="L66" s="715">
        <v>51.65</v>
      </c>
      <c r="M66" s="715">
        <v>51.65</v>
      </c>
      <c r="N66" s="715">
        <v>51.65</v>
      </c>
      <c r="O66" s="715">
        <v>51.65</v>
      </c>
      <c r="P66" s="715">
        <v>51.65</v>
      </c>
      <c r="Q66" s="716">
        <v>0</v>
      </c>
      <c r="R66" s="717" t="str">
        <f>IFERROR(VLOOKUP($C66,[23]Nod!$A$3:$E$992,4,FALSE)," ")</f>
        <v>VEL230</v>
      </c>
      <c r="S66" s="717">
        <f>IFERROR(VLOOKUP($C66,[23]Nod!$A$3:$E$992,5,FALSE)," ")</f>
        <v>4</v>
      </c>
      <c r="T66" s="723" t="s">
        <v>397</v>
      </c>
      <c r="V66" s="713">
        <v>6004</v>
      </c>
      <c r="W66" s="715">
        <f>+'[24]Resumen Modelo'!G56</f>
        <v>0.33</v>
      </c>
      <c r="X66" s="715">
        <f>+'[24]Resumen Modelo'!H56</f>
        <v>0.34</v>
      </c>
      <c r="Y66" s="715">
        <f>+'[24]Resumen Modelo'!I56</f>
        <v>0.35</v>
      </c>
      <c r="Z66" s="715">
        <f>+'[24]Resumen Modelo'!J56</f>
        <v>0.36</v>
      </c>
      <c r="AA66" s="715">
        <f>+'[24]Resumen Modelo'!K56</f>
        <v>0.34</v>
      </c>
      <c r="AB66" s="715">
        <f>+'[24]Resumen Modelo'!L56</f>
        <v>0.34</v>
      </c>
      <c r="AC66" s="715">
        <f>+'[24]Resumen Modelo'!M56</f>
        <v>0.35</v>
      </c>
      <c r="AD66" s="715">
        <f>+'[24]Resumen Modelo'!N56</f>
        <v>0.32</v>
      </c>
      <c r="AE66" s="715">
        <f>+'[24]Resumen Modelo'!O56</f>
        <v>0.36</v>
      </c>
      <c r="AF66" s="715">
        <f>+'[24]Resumen Modelo'!P56</f>
        <v>0.33</v>
      </c>
      <c r="AG66" s="715">
        <f>+'[24]Resumen Modelo'!Q56</f>
        <v>0.34</v>
      </c>
      <c r="AH66" s="715">
        <f>+'[24]Resumen Modelo'!R56</f>
        <v>0.37</v>
      </c>
      <c r="AI66" s="750">
        <f>SUM(W66:AH66)</f>
        <v>4.13</v>
      </c>
      <c r="AJ66" s="679" t="str">
        <f>IFERROR(VLOOKUP($V58,#REF!,4,FALSE)," ")</f>
        <v xml:space="preserve"> </v>
      </c>
      <c r="AK66" s="724" t="s">
        <v>396</v>
      </c>
      <c r="AL66" s="720"/>
      <c r="AM66" s="721">
        <v>6002</v>
      </c>
      <c r="AN66" s="722">
        <v>3.5418235458082181</v>
      </c>
    </row>
    <row r="67" spans="1:40" ht="15" customHeight="1">
      <c r="A67" s="762" t="s">
        <v>398</v>
      </c>
      <c r="C67" s="713">
        <v>6182</v>
      </c>
      <c r="D67" s="714">
        <v>32.6</v>
      </c>
      <c r="E67" s="715">
        <v>32.6</v>
      </c>
      <c r="F67" s="715">
        <v>32.6</v>
      </c>
      <c r="G67" s="715">
        <v>32.6</v>
      </c>
      <c r="H67" s="715">
        <v>32.6</v>
      </c>
      <c r="I67" s="715">
        <v>32.6</v>
      </c>
      <c r="J67" s="715">
        <v>32.6</v>
      </c>
      <c r="K67" s="715">
        <v>32.6</v>
      </c>
      <c r="L67" s="715">
        <v>32.6</v>
      </c>
      <c r="M67" s="715">
        <v>32.6</v>
      </c>
      <c r="N67" s="715">
        <v>32.6</v>
      </c>
      <c r="O67" s="715">
        <v>32.6</v>
      </c>
      <c r="P67" s="715">
        <v>32.6</v>
      </c>
      <c r="Q67" s="716"/>
      <c r="R67" s="717" t="str">
        <f>IFERROR(VLOOKUP($C67,[23]Nod!$A$3:$E$992,4,FALSE)," ")</f>
        <v>VEL230</v>
      </c>
      <c r="S67" s="717">
        <f>IFERROR(VLOOKUP($C67,[23]Nod!$A$3:$E$992,5,FALSE)," ")</f>
        <v>4</v>
      </c>
      <c r="T67" s="725" t="s">
        <v>146</v>
      </c>
      <c r="U67" s="726"/>
      <c r="V67" s="727"/>
      <c r="W67" s="715">
        <f>+'[24]Resumen Modelo'!G57</f>
        <v>0</v>
      </c>
      <c r="X67" s="715">
        <f>+'[24]Resumen Modelo'!H57</f>
        <v>0</v>
      </c>
      <c r="Y67" s="715">
        <f>+'[24]Resumen Modelo'!I57</f>
        <v>0</v>
      </c>
      <c r="Z67" s="715">
        <f>+'[24]Resumen Modelo'!J57</f>
        <v>0</v>
      </c>
      <c r="AA67" s="715">
        <f>+'[24]Resumen Modelo'!K57</f>
        <v>0</v>
      </c>
      <c r="AB67" s="715">
        <f>+'[24]Resumen Modelo'!L57</f>
        <v>0</v>
      </c>
      <c r="AC67" s="715">
        <f>+'[24]Resumen Modelo'!M57</f>
        <v>0</v>
      </c>
      <c r="AD67" s="715">
        <f>+'[24]Resumen Modelo'!N57</f>
        <v>0</v>
      </c>
      <c r="AE67" s="715">
        <f>+'[24]Resumen Modelo'!O57</f>
        <v>0</v>
      </c>
      <c r="AF67" s="715">
        <f>+'[24]Resumen Modelo'!P57</f>
        <v>0</v>
      </c>
      <c r="AG67" s="715">
        <f>+'[24]Resumen Modelo'!Q57</f>
        <v>0</v>
      </c>
      <c r="AH67" s="715">
        <f>+'[24]Resumen Modelo'!R57</f>
        <v>0</v>
      </c>
      <c r="AI67" s="757">
        <f t="shared" si="10"/>
        <v>0</v>
      </c>
      <c r="AJ67" s="679" t="str">
        <f>IFERROR(VLOOKUP($V59,#REF!,4,FALSE)," ")</f>
        <v xml:space="preserve"> </v>
      </c>
      <c r="AK67" s="724" t="s">
        <v>397</v>
      </c>
      <c r="AL67" s="720"/>
      <c r="AM67" s="721">
        <v>6004</v>
      </c>
      <c r="AN67" s="722">
        <v>0.29501004884593701</v>
      </c>
    </row>
    <row r="68" spans="1:40" ht="15" customHeight="1">
      <c r="A68" s="712" t="s">
        <v>399</v>
      </c>
      <c r="C68" s="713">
        <v>6380</v>
      </c>
      <c r="D68" s="714">
        <v>3.29</v>
      </c>
      <c r="E68" s="715">
        <v>3.29</v>
      </c>
      <c r="F68" s="715">
        <v>3.29</v>
      </c>
      <c r="G68" s="715">
        <v>3.29</v>
      </c>
      <c r="H68" s="715">
        <v>3.29</v>
      </c>
      <c r="I68" s="715">
        <v>3.29</v>
      </c>
      <c r="J68" s="715">
        <v>3.29</v>
      </c>
      <c r="K68" s="715">
        <v>3.29</v>
      </c>
      <c r="L68" s="715">
        <v>3.29</v>
      </c>
      <c r="M68" s="715">
        <v>3.29</v>
      </c>
      <c r="N68" s="715">
        <v>3.29</v>
      </c>
      <c r="O68" s="715">
        <v>3.29</v>
      </c>
      <c r="P68" s="715">
        <v>3.29</v>
      </c>
      <c r="Q68" s="716">
        <v>0</v>
      </c>
      <c r="R68" s="717" t="str">
        <f>IFERROR(VLOOKUP($C68,[23]Nod!$A$3:$E$992,4,FALSE)," ")</f>
        <v>BOQIII230</v>
      </c>
      <c r="S68" s="717">
        <f>IFERROR(VLOOKUP($C68,[23]Nod!$A$3:$E$992,5,FALSE)," ")</f>
        <v>4</v>
      </c>
      <c r="T68" s="733">
        <v>8</v>
      </c>
      <c r="U68" s="734"/>
      <c r="V68" s="736"/>
      <c r="W68" s="736">
        <f>+'[24]Resumen Modelo'!G58</f>
        <v>2.3199999999999998</v>
      </c>
      <c r="X68" s="736">
        <f>+'[24]Resumen Modelo'!H58</f>
        <v>1.36</v>
      </c>
      <c r="Y68" s="736">
        <f>+'[24]Resumen Modelo'!I58</f>
        <v>1.35</v>
      </c>
      <c r="Z68" s="736">
        <f>+'[24]Resumen Modelo'!J58</f>
        <v>1.74</v>
      </c>
      <c r="AA68" s="736">
        <f>+'[24]Resumen Modelo'!K58</f>
        <v>1.35</v>
      </c>
      <c r="AB68" s="736">
        <f>+'[24]Resumen Modelo'!L58</f>
        <v>1.35</v>
      </c>
      <c r="AC68" s="736">
        <f>+'[24]Resumen Modelo'!M58</f>
        <v>1.72</v>
      </c>
      <c r="AD68" s="736">
        <f>+'[24]Resumen Modelo'!N58</f>
        <v>2.0699999999999998</v>
      </c>
      <c r="AE68" s="736">
        <f>+'[24]Resumen Modelo'!O58</f>
        <v>1.32</v>
      </c>
      <c r="AF68" s="736">
        <f>+'[24]Resumen Modelo'!P58</f>
        <v>1.34</v>
      </c>
      <c r="AG68" s="736">
        <f>+'[24]Resumen Modelo'!Q58</f>
        <v>2.4</v>
      </c>
      <c r="AH68" s="736">
        <f>+'[24]Resumen Modelo'!R58</f>
        <v>1.37</v>
      </c>
      <c r="AI68" s="736">
        <f>SUM(AI69:AI71)</f>
        <v>2.4</v>
      </c>
      <c r="AJ68" s="679" t="str">
        <f>IFERROR(VLOOKUP($V60,#REF!,4,FALSE)," ")</f>
        <v xml:space="preserve"> </v>
      </c>
      <c r="AK68" s="729" t="s">
        <v>146</v>
      </c>
      <c r="AL68" s="730"/>
      <c r="AM68" s="731"/>
      <c r="AN68" s="732"/>
    </row>
    <row r="69" spans="1:40" ht="15" customHeight="1">
      <c r="A69" s="712" t="s">
        <v>400</v>
      </c>
      <c r="C69" s="713">
        <v>6380</v>
      </c>
      <c r="D69" s="714">
        <v>4</v>
      </c>
      <c r="E69" s="715">
        <v>4</v>
      </c>
      <c r="F69" s="715">
        <v>4</v>
      </c>
      <c r="G69" s="715">
        <v>4</v>
      </c>
      <c r="H69" s="715">
        <v>4</v>
      </c>
      <c r="I69" s="715">
        <v>4</v>
      </c>
      <c r="J69" s="715">
        <v>4</v>
      </c>
      <c r="K69" s="715">
        <v>4</v>
      </c>
      <c r="L69" s="715">
        <v>4</v>
      </c>
      <c r="M69" s="715">
        <v>4</v>
      </c>
      <c r="N69" s="715">
        <v>4</v>
      </c>
      <c r="O69" s="715">
        <v>4</v>
      </c>
      <c r="P69" s="715">
        <v>4</v>
      </c>
      <c r="Q69" s="716">
        <v>0</v>
      </c>
      <c r="R69" s="717" t="str">
        <f>IFERROR(VLOOKUP($C69,[23]Nod!$A$3:$E$992,4,FALSE)," ")</f>
        <v>BOQIII230</v>
      </c>
      <c r="S69" s="717">
        <f>IFERROR(VLOOKUP($C69,[23]Nod!$A$3:$E$992,5,FALSE)," ")</f>
        <v>4</v>
      </c>
      <c r="T69" s="718" t="s">
        <v>164</v>
      </c>
      <c r="V69" s="713"/>
      <c r="W69" s="715">
        <f>+'[24]Resumen Modelo'!G59</f>
        <v>0</v>
      </c>
      <c r="X69" s="715">
        <f>+'[24]Resumen Modelo'!H59</f>
        <v>0</v>
      </c>
      <c r="Y69" s="715">
        <f>+'[24]Resumen Modelo'!I59</f>
        <v>0</v>
      </c>
      <c r="Z69" s="715">
        <f>+'[24]Resumen Modelo'!J59</f>
        <v>0</v>
      </c>
      <c r="AA69" s="715">
        <f>+'[24]Resumen Modelo'!K59</f>
        <v>0</v>
      </c>
      <c r="AB69" s="715">
        <f>+'[24]Resumen Modelo'!L59</f>
        <v>0</v>
      </c>
      <c r="AC69" s="715">
        <f>+'[24]Resumen Modelo'!M59</f>
        <v>0</v>
      </c>
      <c r="AD69" s="715">
        <f>+'[24]Resumen Modelo'!N59</f>
        <v>0</v>
      </c>
      <c r="AE69" s="715">
        <f>+'[24]Resumen Modelo'!O59</f>
        <v>0</v>
      </c>
      <c r="AF69" s="715">
        <f>+'[24]Resumen Modelo'!P59</f>
        <v>0</v>
      </c>
      <c r="AG69" s="715">
        <f>+'[24]Resumen Modelo'!Q59</f>
        <v>0</v>
      </c>
      <c r="AH69" s="715">
        <f>+'[24]Resumen Modelo'!R59</f>
        <v>0</v>
      </c>
      <c r="AI69" s="750"/>
      <c r="AJ69" s="679" t="str">
        <f>IFERROR(VLOOKUP($V61,#REF!,4,FALSE)," ")</f>
        <v xml:space="preserve"> </v>
      </c>
      <c r="AK69" s="737">
        <v>8</v>
      </c>
      <c r="AL69" s="738"/>
      <c r="AM69" s="739"/>
      <c r="AN69" s="740">
        <v>45.866909944079076</v>
      </c>
    </row>
    <row r="70" spans="1:40" ht="15" customHeight="1">
      <c r="A70" s="712" t="s">
        <v>82</v>
      </c>
      <c r="C70" s="713">
        <v>6182</v>
      </c>
      <c r="D70" s="714">
        <v>69.48</v>
      </c>
      <c r="E70" s="715">
        <v>69.48</v>
      </c>
      <c r="F70" s="715">
        <v>69.48</v>
      </c>
      <c r="G70" s="715">
        <v>69.48</v>
      </c>
      <c r="H70" s="715">
        <v>69.48</v>
      </c>
      <c r="I70" s="715">
        <v>69.48</v>
      </c>
      <c r="J70" s="715">
        <v>69.48</v>
      </c>
      <c r="K70" s="715">
        <v>69.48</v>
      </c>
      <c r="L70" s="715">
        <v>69.48</v>
      </c>
      <c r="M70" s="715">
        <v>69.48</v>
      </c>
      <c r="N70" s="715">
        <v>69.48</v>
      </c>
      <c r="O70" s="715">
        <v>69.48</v>
      </c>
      <c r="P70" s="715">
        <v>69.48</v>
      </c>
      <c r="Q70" s="716">
        <v>0</v>
      </c>
      <c r="R70" s="717" t="str">
        <f>IFERROR(VLOOKUP($C70,[23]Nod!$A$3:$E$992,4,FALSE)," ")</f>
        <v>VEL230</v>
      </c>
      <c r="S70" s="717">
        <f>IFERROR(VLOOKUP($C70,[23]Nod!$A$3:$E$992,5,FALSE)," ")</f>
        <v>4</v>
      </c>
      <c r="T70" s="764" t="s">
        <v>401</v>
      </c>
      <c r="V70" s="713">
        <v>6100</v>
      </c>
      <c r="W70" s="715">
        <f>+'[24]Resumen Modelo'!G60</f>
        <v>2.3199999999999998</v>
      </c>
      <c r="X70" s="715">
        <f>+'[24]Resumen Modelo'!H60</f>
        <v>1.36</v>
      </c>
      <c r="Y70" s="715">
        <f>+'[24]Resumen Modelo'!I60</f>
        <v>1.35</v>
      </c>
      <c r="Z70" s="715">
        <f>+'[24]Resumen Modelo'!J60</f>
        <v>1.74</v>
      </c>
      <c r="AA70" s="715">
        <f>+'[24]Resumen Modelo'!K60</f>
        <v>1.35</v>
      </c>
      <c r="AB70" s="715">
        <f>+'[24]Resumen Modelo'!L60</f>
        <v>1.35</v>
      </c>
      <c r="AC70" s="715">
        <f>+'[24]Resumen Modelo'!M60</f>
        <v>1.72</v>
      </c>
      <c r="AD70" s="715">
        <f>+'[24]Resumen Modelo'!N60</f>
        <v>2.0699999999999998</v>
      </c>
      <c r="AE70" s="715">
        <f>+'[24]Resumen Modelo'!O60</f>
        <v>1.32</v>
      </c>
      <c r="AF70" s="715">
        <f>+'[24]Resumen Modelo'!P60</f>
        <v>1.34</v>
      </c>
      <c r="AG70" s="715">
        <f>+'[24]Resumen Modelo'!Q60</f>
        <v>2.4</v>
      </c>
      <c r="AH70" s="715">
        <f>+'[24]Resumen Modelo'!R60</f>
        <v>1.37</v>
      </c>
      <c r="AI70" s="750">
        <f>+MAX(W70:AH70)</f>
        <v>2.4</v>
      </c>
      <c r="AJ70" s="679"/>
      <c r="AK70" s="719" t="s">
        <v>164</v>
      </c>
      <c r="AL70" s="720"/>
      <c r="AM70" s="721"/>
      <c r="AN70" s="722"/>
    </row>
    <row r="71" spans="1:40" ht="15" customHeight="1">
      <c r="A71" s="712" t="s">
        <v>402</v>
      </c>
      <c r="B71" s="656"/>
      <c r="C71" s="765">
        <v>6380</v>
      </c>
      <c r="D71" s="766">
        <v>6.3</v>
      </c>
      <c r="E71" s="715">
        <v>6.3</v>
      </c>
      <c r="F71" s="715">
        <v>6.3</v>
      </c>
      <c r="G71" s="715">
        <v>6.3</v>
      </c>
      <c r="H71" s="715">
        <v>6.3</v>
      </c>
      <c r="I71" s="715">
        <v>6.3</v>
      </c>
      <c r="J71" s="715">
        <v>6.3</v>
      </c>
      <c r="K71" s="715">
        <v>6.3</v>
      </c>
      <c r="L71" s="715">
        <v>6.3</v>
      </c>
      <c r="M71" s="715">
        <v>6.3</v>
      </c>
      <c r="N71" s="715">
        <v>6.3</v>
      </c>
      <c r="O71" s="715">
        <v>6.3</v>
      </c>
      <c r="P71" s="715">
        <v>6.3</v>
      </c>
      <c r="Q71" s="767">
        <v>0</v>
      </c>
      <c r="R71" s="717" t="str">
        <f>IFERROR(VLOOKUP($C71,[23]Nod!$A$3:$E$992,4,FALSE)," ")</f>
        <v>BOQIII230</v>
      </c>
      <c r="S71" s="717">
        <f>IFERROR(VLOOKUP($C71,[23]Nod!$A$3:$E$992,5,FALSE)," ")</f>
        <v>4</v>
      </c>
      <c r="T71" s="725" t="s">
        <v>146</v>
      </c>
      <c r="U71" s="726"/>
      <c r="V71" s="727"/>
      <c r="W71" s="715">
        <f>+'[24]Resumen Modelo'!G61</f>
        <v>0</v>
      </c>
      <c r="X71" s="715">
        <f>+'[24]Resumen Modelo'!H61</f>
        <v>0</v>
      </c>
      <c r="Y71" s="715">
        <f>+'[24]Resumen Modelo'!I61</f>
        <v>0</v>
      </c>
      <c r="Z71" s="715">
        <f>+'[24]Resumen Modelo'!J61</f>
        <v>0</v>
      </c>
      <c r="AA71" s="715">
        <f>+'[24]Resumen Modelo'!K61</f>
        <v>0</v>
      </c>
      <c r="AB71" s="715">
        <f>+'[24]Resumen Modelo'!L61</f>
        <v>0</v>
      </c>
      <c r="AC71" s="715">
        <f>+'[24]Resumen Modelo'!M61</f>
        <v>0</v>
      </c>
      <c r="AD71" s="715">
        <f>+'[24]Resumen Modelo'!N61</f>
        <v>0</v>
      </c>
      <c r="AE71" s="715">
        <f>+'[24]Resumen Modelo'!O61</f>
        <v>0</v>
      </c>
      <c r="AF71" s="715">
        <f>+'[24]Resumen Modelo'!P61</f>
        <v>0</v>
      </c>
      <c r="AG71" s="715">
        <f>+'[24]Resumen Modelo'!Q61</f>
        <v>0</v>
      </c>
      <c r="AH71" s="715">
        <f>+'[24]Resumen Modelo'!R61</f>
        <v>0</v>
      </c>
      <c r="AI71" s="757"/>
      <c r="AJ71" s="679"/>
      <c r="AK71" s="768" t="s">
        <v>393</v>
      </c>
      <c r="AL71" s="720"/>
      <c r="AM71" s="721">
        <v>6470</v>
      </c>
      <c r="AN71" s="722">
        <v>45.866909944079076</v>
      </c>
    </row>
    <row r="72" spans="1:40" ht="15" customHeight="1">
      <c r="A72" s="712" t="s">
        <v>403</v>
      </c>
      <c r="B72" s="656"/>
      <c r="C72" s="765">
        <v>6013</v>
      </c>
      <c r="D72" s="766">
        <v>8.89</v>
      </c>
      <c r="E72" s="715">
        <v>8.89</v>
      </c>
      <c r="F72" s="715">
        <v>8.89</v>
      </c>
      <c r="G72" s="715">
        <v>8.89</v>
      </c>
      <c r="H72" s="715">
        <v>8.89</v>
      </c>
      <c r="I72" s="715">
        <v>8.89</v>
      </c>
      <c r="J72" s="715">
        <v>8.89</v>
      </c>
      <c r="K72" s="715">
        <v>8.89</v>
      </c>
      <c r="L72" s="715">
        <v>8.89</v>
      </c>
      <c r="M72" s="715">
        <v>8.89</v>
      </c>
      <c r="N72" s="715">
        <v>8.89</v>
      </c>
      <c r="O72" s="715">
        <v>8.89</v>
      </c>
      <c r="P72" s="715">
        <v>8.89</v>
      </c>
      <c r="Q72" s="767">
        <v>0</v>
      </c>
      <c r="R72" s="717" t="str">
        <f>IFERROR(VLOOKUP($C72,[23]Nod!$A$3:$E$992,4,FALSE)," ")</f>
        <v>MDN34</v>
      </c>
      <c r="S72" s="717">
        <f>IFERROR(VLOOKUP($C72,[23]Nod!$A$3:$E$992,5,FALSE)," ")</f>
        <v>4</v>
      </c>
      <c r="T72" s="749">
        <v>9</v>
      </c>
      <c r="U72" s="703"/>
      <c r="V72" s="704"/>
      <c r="W72" s="742">
        <f>+'[24]Resumen Modelo'!G62</f>
        <v>112.58</v>
      </c>
      <c r="X72" s="742">
        <f>+'[24]Resumen Modelo'!H62</f>
        <v>109.72</v>
      </c>
      <c r="Y72" s="742">
        <f>+'[24]Resumen Modelo'!I62</f>
        <v>109.72</v>
      </c>
      <c r="Z72" s="742">
        <f>+'[24]Resumen Modelo'!J62</f>
        <v>110.95</v>
      </c>
      <c r="AA72" s="742">
        <f>+'[24]Resumen Modelo'!K62</f>
        <v>108.10250000000001</v>
      </c>
      <c r="AB72" s="742">
        <f>+'[24]Resumen Modelo'!L62</f>
        <v>110.65</v>
      </c>
      <c r="AC72" s="742">
        <f>+'[24]Resumen Modelo'!M62</f>
        <v>108.22999999999999</v>
      </c>
      <c r="AD72" s="742">
        <f>+'[24]Resumen Modelo'!N62</f>
        <v>127.31</v>
      </c>
      <c r="AE72" s="742">
        <f>+'[24]Resumen Modelo'!O62</f>
        <v>112.34</v>
      </c>
      <c r="AF72" s="742">
        <f>+'[24]Resumen Modelo'!P62</f>
        <v>116.14</v>
      </c>
      <c r="AG72" s="742">
        <f>+'[24]Resumen Modelo'!Q62</f>
        <v>117.43</v>
      </c>
      <c r="AH72" s="742">
        <f>+'[24]Resumen Modelo'!R62</f>
        <v>111.28</v>
      </c>
      <c r="AI72" s="742">
        <f>SUM(AI73:AI79)</f>
        <v>129.75</v>
      </c>
      <c r="AJ72" s="679" t="str">
        <f>IFERROR(VLOOKUP(#REF!,#REF!,4,FALSE)," ")</f>
        <v xml:space="preserve"> </v>
      </c>
      <c r="AK72" s="768" t="s">
        <v>401</v>
      </c>
      <c r="AL72" s="720"/>
      <c r="AM72" s="721">
        <v>6100</v>
      </c>
      <c r="AN72" s="722"/>
    </row>
    <row r="73" spans="1:40" ht="15" customHeight="1">
      <c r="A73" s="712" t="s">
        <v>404</v>
      </c>
      <c r="C73" s="763">
        <v>6013</v>
      </c>
      <c r="D73" s="714">
        <v>9</v>
      </c>
      <c r="E73" s="715">
        <v>0</v>
      </c>
      <c r="F73" s="715">
        <v>0</v>
      </c>
      <c r="G73" s="715">
        <v>0</v>
      </c>
      <c r="H73" s="715">
        <v>0</v>
      </c>
      <c r="I73" s="715">
        <v>0</v>
      </c>
      <c r="J73" s="715">
        <v>0</v>
      </c>
      <c r="K73" s="715">
        <v>0</v>
      </c>
      <c r="L73" s="715">
        <v>0</v>
      </c>
      <c r="M73" s="715">
        <v>0</v>
      </c>
      <c r="N73" s="715">
        <v>0</v>
      </c>
      <c r="O73" s="715">
        <v>0</v>
      </c>
      <c r="P73" s="715">
        <v>0</v>
      </c>
      <c r="Q73" s="716">
        <v>13</v>
      </c>
      <c r="R73" s="717" t="str">
        <f>IFERROR(VLOOKUP($C73,[23]Nod!$A$3:$E$992,4,FALSE)," ")</f>
        <v>MDN34</v>
      </c>
      <c r="S73" s="717">
        <f>IFERROR(VLOOKUP($C73,[23]Nod!$A$3:$E$992,5,FALSE)," ")</f>
        <v>4</v>
      </c>
      <c r="T73" s="718" t="s">
        <v>164</v>
      </c>
      <c r="V73" s="713"/>
      <c r="W73" s="715">
        <f>+'[24]Resumen Modelo'!G63</f>
        <v>0</v>
      </c>
      <c r="X73" s="715">
        <f>+'[24]Resumen Modelo'!H63</f>
        <v>0</v>
      </c>
      <c r="Y73" s="715">
        <f>+'[24]Resumen Modelo'!I63</f>
        <v>0</v>
      </c>
      <c r="Z73" s="715">
        <f>+'[24]Resumen Modelo'!J63</f>
        <v>0</v>
      </c>
      <c r="AA73" s="715">
        <f>+'[24]Resumen Modelo'!K63</f>
        <v>0</v>
      </c>
      <c r="AB73" s="715">
        <f>+'[24]Resumen Modelo'!L63</f>
        <v>0</v>
      </c>
      <c r="AC73" s="715">
        <f>+'[24]Resumen Modelo'!M63</f>
        <v>0</v>
      </c>
      <c r="AD73" s="715">
        <f>+'[24]Resumen Modelo'!N63</f>
        <v>0</v>
      </c>
      <c r="AE73" s="715">
        <f>+'[24]Resumen Modelo'!O63</f>
        <v>0</v>
      </c>
      <c r="AF73" s="715">
        <f>+'[24]Resumen Modelo'!P63</f>
        <v>0</v>
      </c>
      <c r="AG73" s="715">
        <f>+'[24]Resumen Modelo'!Q63</f>
        <v>0</v>
      </c>
      <c r="AH73" s="715">
        <f>+'[24]Resumen Modelo'!R63</f>
        <v>0</v>
      </c>
      <c r="AI73" s="750"/>
      <c r="AJ73" s="679" t="str">
        <f>IFERROR(VLOOKUP($V63,#REF!,4,FALSE)," ")</f>
        <v xml:space="preserve"> </v>
      </c>
      <c r="AK73" s="729" t="s">
        <v>146</v>
      </c>
      <c r="AL73" s="730"/>
      <c r="AM73" s="731"/>
      <c r="AN73" s="732"/>
    </row>
    <row r="74" spans="1:40" ht="15" customHeight="1">
      <c r="A74" s="712" t="s">
        <v>405</v>
      </c>
      <c r="C74" s="763">
        <v>6520</v>
      </c>
      <c r="D74" s="766">
        <v>19.87</v>
      </c>
      <c r="E74" s="715">
        <v>19.87</v>
      </c>
      <c r="F74" s="715">
        <v>19.87</v>
      </c>
      <c r="G74" s="715">
        <v>19.87</v>
      </c>
      <c r="H74" s="715">
        <v>19.87</v>
      </c>
      <c r="I74" s="715">
        <v>19.87</v>
      </c>
      <c r="J74" s="715">
        <v>19.87</v>
      </c>
      <c r="K74" s="715">
        <v>19.87</v>
      </c>
      <c r="L74" s="715">
        <v>19.87</v>
      </c>
      <c r="M74" s="715">
        <v>19.87</v>
      </c>
      <c r="N74" s="715">
        <v>19.87</v>
      </c>
      <c r="O74" s="715">
        <v>19.87</v>
      </c>
      <c r="P74" s="715">
        <v>19.87</v>
      </c>
      <c r="Q74" s="716">
        <v>0</v>
      </c>
      <c r="R74" s="717" t="str">
        <f>IFERROR(VLOOKUP($C74,[23]Nod!$A$3:$E$992,4,FALSE)," ")</f>
        <v>SBA34</v>
      </c>
      <c r="S74" s="717">
        <f>IFERROR(VLOOKUP($C74,[23]Nod!$A$3:$E$992,5,FALSE)," ")</f>
        <v>4</v>
      </c>
      <c r="T74" s="723" t="s">
        <v>26</v>
      </c>
      <c r="V74" s="713">
        <v>6059</v>
      </c>
      <c r="W74" s="715">
        <f>+'[24]Resumen Modelo'!G64</f>
        <v>105.24</v>
      </c>
      <c r="X74" s="715">
        <f>+'[24]Resumen Modelo'!H64</f>
        <v>102.5</v>
      </c>
      <c r="Y74" s="715">
        <f>+'[24]Resumen Modelo'!I64</f>
        <v>102.27</v>
      </c>
      <c r="Z74" s="715">
        <f>+'[24]Resumen Modelo'!J64</f>
        <v>104.48</v>
      </c>
      <c r="AA74" s="715">
        <f>+'[24]Resumen Modelo'!K64</f>
        <v>103.6225</v>
      </c>
      <c r="AB74" s="715">
        <f>+'[24]Resumen Modelo'!L64</f>
        <v>103.58</v>
      </c>
      <c r="AC74" s="715">
        <f>+'[24]Resumen Modelo'!M64</f>
        <v>101.58</v>
      </c>
      <c r="AD74" s="715">
        <f>+'[24]Resumen Modelo'!N64</f>
        <v>122.29</v>
      </c>
      <c r="AE74" s="715">
        <f>+'[24]Resumen Modelo'!O64</f>
        <v>104.98</v>
      </c>
      <c r="AF74" s="715">
        <f>+'[24]Resumen Modelo'!P64</f>
        <v>108.85</v>
      </c>
      <c r="AG74" s="715">
        <f>+'[24]Resumen Modelo'!Q64</f>
        <v>110.17</v>
      </c>
      <c r="AH74" s="715">
        <f>+'[24]Resumen Modelo'!R64</f>
        <v>103.91</v>
      </c>
      <c r="AI74" s="750">
        <f>+MAX(W74:AH74)</f>
        <v>122.29</v>
      </c>
      <c r="AJ74" s="679" t="str">
        <f>IFERROR(VLOOKUP($V64,#REF!,4,FALSE)," ")</f>
        <v xml:space="preserve"> </v>
      </c>
      <c r="AK74" s="708">
        <v>9</v>
      </c>
      <c r="AL74" s="709"/>
      <c r="AM74" s="710"/>
      <c r="AN74" s="711">
        <v>147.65123995925069</v>
      </c>
    </row>
    <row r="75" spans="1:40" ht="15" customHeight="1">
      <c r="A75" s="712" t="s">
        <v>83</v>
      </c>
      <c r="C75" s="763">
        <v>6550</v>
      </c>
      <c r="D75" s="769">
        <v>28.56</v>
      </c>
      <c r="E75" s="715">
        <v>28.56</v>
      </c>
      <c r="F75" s="715">
        <v>28.56</v>
      </c>
      <c r="G75" s="715">
        <v>28.56</v>
      </c>
      <c r="H75" s="715">
        <v>28.56</v>
      </c>
      <c r="I75" s="715">
        <v>28.56</v>
      </c>
      <c r="J75" s="715">
        <v>28.56</v>
      </c>
      <c r="K75" s="715">
        <v>28.56</v>
      </c>
      <c r="L75" s="715">
        <v>28.56</v>
      </c>
      <c r="M75" s="715">
        <v>28.56</v>
      </c>
      <c r="N75" s="715">
        <v>28.56</v>
      </c>
      <c r="O75" s="715">
        <v>28.56</v>
      </c>
      <c r="P75" s="715">
        <v>28.56</v>
      </c>
      <c r="Q75" s="716">
        <v>0</v>
      </c>
      <c r="R75" s="717" t="str">
        <f>IFERROR(VLOOKUP($C75,[23]Nod!$A$3:$E$992,4,FALSE)," ")</f>
        <v>BEV230</v>
      </c>
      <c r="S75" s="717">
        <f>IFERROR(VLOOKUP($C75,[23]Nod!$A$3:$E$992,5,FALSE)," ")</f>
        <v>4</v>
      </c>
      <c r="T75" s="718" t="s">
        <v>154</v>
      </c>
      <c r="V75" s="713"/>
      <c r="W75" s="715">
        <f>+'[24]Resumen Modelo'!G65</f>
        <v>0</v>
      </c>
      <c r="X75" s="715">
        <f>+'[24]Resumen Modelo'!H65</f>
        <v>0</v>
      </c>
      <c r="Y75" s="715">
        <f>+'[24]Resumen Modelo'!I65</f>
        <v>0</v>
      </c>
      <c r="Z75" s="715">
        <f>+'[24]Resumen Modelo'!J65</f>
        <v>0</v>
      </c>
      <c r="AA75" s="715">
        <f>+'[24]Resumen Modelo'!K65</f>
        <v>0</v>
      </c>
      <c r="AB75" s="715">
        <f>+'[24]Resumen Modelo'!L65</f>
        <v>0</v>
      </c>
      <c r="AC75" s="715">
        <f>+'[24]Resumen Modelo'!M65</f>
        <v>0</v>
      </c>
      <c r="AD75" s="715">
        <f>+'[24]Resumen Modelo'!N65</f>
        <v>0</v>
      </c>
      <c r="AE75" s="715">
        <f>+'[24]Resumen Modelo'!O65</f>
        <v>0</v>
      </c>
      <c r="AF75" s="715">
        <f>+'[24]Resumen Modelo'!P65</f>
        <v>0</v>
      </c>
      <c r="AG75" s="715">
        <f>+'[24]Resumen Modelo'!Q65</f>
        <v>0</v>
      </c>
      <c r="AH75" s="715">
        <f>+'[24]Resumen Modelo'!R65</f>
        <v>0</v>
      </c>
      <c r="AI75" s="750"/>
      <c r="AJ75" s="679" t="str">
        <f>IFERROR(VLOOKUP($V65,#REF!,4,FALSE)," ")</f>
        <v xml:space="preserve"> </v>
      </c>
      <c r="AK75" s="719" t="s">
        <v>164</v>
      </c>
      <c r="AL75" s="720"/>
      <c r="AM75" s="721"/>
      <c r="AN75" s="722"/>
    </row>
    <row r="76" spans="1:40" ht="15" customHeight="1">
      <c r="A76" s="712" t="s">
        <v>406</v>
      </c>
      <c r="C76" s="713">
        <v>6380</v>
      </c>
      <c r="D76" s="714">
        <v>3</v>
      </c>
      <c r="E76" s="715">
        <v>0</v>
      </c>
      <c r="F76" s="715">
        <v>0</v>
      </c>
      <c r="G76" s="715">
        <v>0</v>
      </c>
      <c r="H76" s="715">
        <v>0</v>
      </c>
      <c r="I76" s="715">
        <v>0</v>
      </c>
      <c r="J76" s="715">
        <v>0</v>
      </c>
      <c r="K76" s="715">
        <v>0</v>
      </c>
      <c r="L76" s="715">
        <v>0</v>
      </c>
      <c r="M76" s="715">
        <v>0</v>
      </c>
      <c r="N76" s="715">
        <v>0</v>
      </c>
      <c r="O76" s="715">
        <v>0</v>
      </c>
      <c r="P76" s="715">
        <v>0</v>
      </c>
      <c r="Q76" s="716">
        <v>13</v>
      </c>
      <c r="R76" s="717" t="str">
        <f>IFERROR(VLOOKUP($C76,[23]Nod!$A$3:$E$992,4,FALSE)," ")</f>
        <v>BOQIII230</v>
      </c>
      <c r="S76" s="717">
        <f>IFERROR(VLOOKUP($C76,[23]Nod!$A$3:$E$992,5,FALSE)," ")</f>
        <v>4</v>
      </c>
      <c r="T76" s="723" t="s">
        <v>407</v>
      </c>
      <c r="V76" s="713">
        <v>6170</v>
      </c>
      <c r="W76" s="715">
        <f>+'[24]Resumen Modelo'!G66</f>
        <v>7.07</v>
      </c>
      <c r="X76" s="715">
        <f>+'[24]Resumen Modelo'!H66</f>
        <v>6.94</v>
      </c>
      <c r="Y76" s="715">
        <f>+'[24]Resumen Modelo'!I66</f>
        <v>7.17</v>
      </c>
      <c r="Z76" s="715">
        <f>+'[24]Resumen Modelo'!J66</f>
        <v>6.18</v>
      </c>
      <c r="AA76" s="715">
        <f>+'[24]Resumen Modelo'!K66</f>
        <v>4.1900000000000004</v>
      </c>
      <c r="AB76" s="715">
        <f>+'[24]Resumen Modelo'!L66</f>
        <v>6.78</v>
      </c>
      <c r="AC76" s="715">
        <f>+'[24]Resumen Modelo'!M66</f>
        <v>6.38</v>
      </c>
      <c r="AD76" s="715">
        <f>+'[24]Resumen Modelo'!N66</f>
        <v>4.74</v>
      </c>
      <c r="AE76" s="715">
        <f>+'[24]Resumen Modelo'!O66</f>
        <v>7.08</v>
      </c>
      <c r="AF76" s="715">
        <f>+'[24]Resumen Modelo'!P66</f>
        <v>7.01</v>
      </c>
      <c r="AG76" s="715">
        <f>+'[24]Resumen Modelo'!Q66</f>
        <v>6.97</v>
      </c>
      <c r="AH76" s="715">
        <f>+'[24]Resumen Modelo'!R66</f>
        <v>7.08</v>
      </c>
      <c r="AI76" s="750">
        <f>+MAX(W76:AH76)</f>
        <v>7.17</v>
      </c>
      <c r="AJ76" s="679"/>
      <c r="AK76" s="724" t="s">
        <v>26</v>
      </c>
      <c r="AL76" s="720"/>
      <c r="AM76" s="721">
        <v>6059</v>
      </c>
      <c r="AN76" s="722">
        <v>139.05087655862084</v>
      </c>
    </row>
    <row r="77" spans="1:40" ht="15" customHeight="1">
      <c r="A77" s="712" t="s">
        <v>408</v>
      </c>
      <c r="C77" s="713">
        <v>6380</v>
      </c>
      <c r="D77" s="714">
        <v>7.62</v>
      </c>
      <c r="E77" s="715">
        <v>7.62</v>
      </c>
      <c r="F77" s="715">
        <v>7.62</v>
      </c>
      <c r="G77" s="715">
        <v>7.62</v>
      </c>
      <c r="H77" s="715">
        <v>7.62</v>
      </c>
      <c r="I77" s="715">
        <v>7.62</v>
      </c>
      <c r="J77" s="715">
        <v>7.62</v>
      </c>
      <c r="K77" s="715">
        <v>7.62</v>
      </c>
      <c r="L77" s="715">
        <v>7.62</v>
      </c>
      <c r="M77" s="715">
        <v>7.62</v>
      </c>
      <c r="N77" s="715">
        <v>7.62</v>
      </c>
      <c r="O77" s="715">
        <v>7.62</v>
      </c>
      <c r="P77" s="715">
        <v>7.62</v>
      </c>
      <c r="Q77" s="716">
        <v>0</v>
      </c>
      <c r="R77" s="717" t="str">
        <f>IFERROR(VLOOKUP($C77,[23]Nod!$A$3:$E$992,4,FALSE)," ")</f>
        <v>BOQIII230</v>
      </c>
      <c r="S77" s="717">
        <f>IFERROR(VLOOKUP($C77,[23]Nod!$A$3:$E$992,5,FALSE)," ")</f>
        <v>4</v>
      </c>
      <c r="T77" s="723" t="s">
        <v>155</v>
      </c>
      <c r="V77" s="713">
        <v>6059</v>
      </c>
      <c r="W77" s="715">
        <f>+'[24]Resumen Modelo'!G67</f>
        <v>0.27</v>
      </c>
      <c r="X77" s="715">
        <f>+'[24]Resumen Modelo'!H67</f>
        <v>0.28000000000000003</v>
      </c>
      <c r="Y77" s="715">
        <f>+'[24]Resumen Modelo'!I67</f>
        <v>0.28000000000000003</v>
      </c>
      <c r="Z77" s="715">
        <f>+'[24]Resumen Modelo'!J67</f>
        <v>0.28999999999999998</v>
      </c>
      <c r="AA77" s="715">
        <f>+'[24]Resumen Modelo'!K67</f>
        <v>0.28999999999999998</v>
      </c>
      <c r="AB77" s="715">
        <f>+'[24]Resumen Modelo'!L67</f>
        <v>0.28999999999999998</v>
      </c>
      <c r="AC77" s="715">
        <f>+'[24]Resumen Modelo'!M67</f>
        <v>0.27</v>
      </c>
      <c r="AD77" s="715">
        <f>+'[24]Resumen Modelo'!N67</f>
        <v>0.28000000000000003</v>
      </c>
      <c r="AE77" s="715">
        <f>+'[24]Resumen Modelo'!O67</f>
        <v>0.28000000000000003</v>
      </c>
      <c r="AF77" s="715">
        <f>+'[24]Resumen Modelo'!P67</f>
        <v>0.28000000000000003</v>
      </c>
      <c r="AG77" s="715">
        <f>+'[24]Resumen Modelo'!Q67</f>
        <v>0.28999999999999998</v>
      </c>
      <c r="AH77" s="715">
        <f>+'[24]Resumen Modelo'!R67</f>
        <v>0.28999999999999998</v>
      </c>
      <c r="AI77" s="750">
        <f>+MAX(W77:AH77)</f>
        <v>0.28999999999999998</v>
      </c>
      <c r="AJ77" s="679" t="str">
        <f>IFERROR(VLOOKUP($V66,#REF!,4,FALSE)," ")</f>
        <v xml:space="preserve"> </v>
      </c>
      <c r="AK77" s="719" t="s">
        <v>154</v>
      </c>
      <c r="AL77" s="720"/>
      <c r="AM77" s="721"/>
      <c r="AN77" s="722"/>
    </row>
    <row r="78" spans="1:40" ht="15" customHeight="1">
      <c r="A78" s="712" t="s">
        <v>409</v>
      </c>
      <c r="C78" s="713">
        <v>6380</v>
      </c>
      <c r="D78" s="714">
        <v>0.74099999999999999</v>
      </c>
      <c r="E78" s="715"/>
      <c r="F78" s="715"/>
      <c r="G78" s="715"/>
      <c r="H78" s="715"/>
      <c r="I78" s="715"/>
      <c r="J78" s="715"/>
      <c r="K78" s="715"/>
      <c r="L78" s="715"/>
      <c r="M78" s="715"/>
      <c r="N78" s="715"/>
      <c r="O78" s="715"/>
      <c r="P78" s="715"/>
      <c r="Q78" s="716"/>
      <c r="R78" s="717" t="str">
        <f>IFERROR(VLOOKUP($C78,[23]Nod!$A$3:$E$992,4,FALSE)," ")</f>
        <v>BOQIII230</v>
      </c>
      <c r="S78" s="717">
        <f>IFERROR(VLOOKUP($C78,[23]Nod!$A$3:$E$992,5,FALSE)," ")</f>
        <v>4</v>
      </c>
      <c r="T78" s="723" t="s">
        <v>410</v>
      </c>
      <c r="V78" s="713">
        <v>6173</v>
      </c>
      <c r="W78" s="715">
        <f>+'[24]Resumen Modelo'!G68</f>
        <v>0</v>
      </c>
      <c r="X78" s="715">
        <f>+'[24]Resumen Modelo'!H68</f>
        <v>0</v>
      </c>
      <c r="Y78" s="715">
        <f>+'[24]Resumen Modelo'!I68</f>
        <v>0</v>
      </c>
      <c r="Z78" s="715">
        <f>+'[24]Resumen Modelo'!J68</f>
        <v>0</v>
      </c>
      <c r="AA78" s="715">
        <f>+'[24]Resumen Modelo'!K68</f>
        <v>0</v>
      </c>
      <c r="AB78" s="715">
        <f>+'[24]Resumen Modelo'!L68</f>
        <v>0</v>
      </c>
      <c r="AC78" s="715">
        <f>+'[24]Resumen Modelo'!M68</f>
        <v>0</v>
      </c>
      <c r="AD78" s="715">
        <f>+'[24]Resumen Modelo'!N68</f>
        <v>0</v>
      </c>
      <c r="AE78" s="715">
        <f>+'[24]Resumen Modelo'!O68</f>
        <v>0</v>
      </c>
      <c r="AF78" s="715">
        <f>+'[24]Resumen Modelo'!P68</f>
        <v>0</v>
      </c>
      <c r="AG78" s="715">
        <f>+'[24]Resumen Modelo'!Q68</f>
        <v>0</v>
      </c>
      <c r="AH78" s="715">
        <f>+'[24]Resumen Modelo'!R68</f>
        <v>0</v>
      </c>
      <c r="AI78" s="750">
        <f>+MAX(W78:AH78)</f>
        <v>0</v>
      </c>
      <c r="AJ78" s="679" t="str">
        <f>IFERROR(VLOOKUP($V67,#REF!,4,FALSE)," ")</f>
        <v xml:space="preserve"> </v>
      </c>
      <c r="AK78" s="724" t="s">
        <v>407</v>
      </c>
      <c r="AL78" s="720"/>
      <c r="AM78" s="721">
        <v>6170</v>
      </c>
      <c r="AN78" s="722">
        <v>8.3198600170736992</v>
      </c>
    </row>
    <row r="79" spans="1:40" ht="15" customHeight="1">
      <c r="A79" s="712" t="s">
        <v>411</v>
      </c>
      <c r="C79" s="713">
        <v>6380</v>
      </c>
      <c r="D79" s="714">
        <v>4.75</v>
      </c>
      <c r="E79" s="715"/>
      <c r="F79" s="715"/>
      <c r="G79" s="715"/>
      <c r="H79" s="715"/>
      <c r="I79" s="715"/>
      <c r="J79" s="715"/>
      <c r="K79" s="715"/>
      <c r="L79" s="715"/>
      <c r="M79" s="715"/>
      <c r="N79" s="715"/>
      <c r="O79" s="715"/>
      <c r="P79" s="715"/>
      <c r="Q79" s="716"/>
      <c r="R79" s="717" t="str">
        <f>IFERROR(VLOOKUP($C79,[23]Nod!$A$3:$E$992,4,FALSE)," ")</f>
        <v>BOQIII230</v>
      </c>
      <c r="S79" s="717">
        <f>IFERROR(VLOOKUP($C79,[23]Nod!$A$3:$E$992,5,FALSE)," ")</f>
        <v>4</v>
      </c>
      <c r="T79" s="725" t="s">
        <v>146</v>
      </c>
      <c r="U79" s="726"/>
      <c r="V79" s="727"/>
      <c r="W79" s="715">
        <f>+'[24]Resumen Modelo'!G69</f>
        <v>0</v>
      </c>
      <c r="X79" s="715">
        <f>+'[24]Resumen Modelo'!H69</f>
        <v>0</v>
      </c>
      <c r="Y79" s="715">
        <f>+'[24]Resumen Modelo'!I69</f>
        <v>0</v>
      </c>
      <c r="Z79" s="715">
        <f>+'[24]Resumen Modelo'!J69</f>
        <v>0</v>
      </c>
      <c r="AA79" s="715">
        <f>+'[24]Resumen Modelo'!K69</f>
        <v>0</v>
      </c>
      <c r="AB79" s="715">
        <f>+'[24]Resumen Modelo'!L69</f>
        <v>0</v>
      </c>
      <c r="AC79" s="715">
        <f>+'[24]Resumen Modelo'!M69</f>
        <v>0</v>
      </c>
      <c r="AD79" s="715">
        <f>+'[24]Resumen Modelo'!N69</f>
        <v>0</v>
      </c>
      <c r="AE79" s="715">
        <f>+'[24]Resumen Modelo'!O69</f>
        <v>0</v>
      </c>
      <c r="AF79" s="715">
        <f>+'[24]Resumen Modelo'!P69</f>
        <v>0</v>
      </c>
      <c r="AG79" s="715">
        <f>+'[24]Resumen Modelo'!Q69</f>
        <v>0</v>
      </c>
      <c r="AH79" s="715">
        <f>+'[24]Resumen Modelo'!R69</f>
        <v>0</v>
      </c>
      <c r="AI79" s="757"/>
      <c r="AJ79" s="679" t="str">
        <f>IFERROR(VLOOKUP($V68,#REF!,4,FALSE)," ")</f>
        <v xml:space="preserve"> </v>
      </c>
      <c r="AK79" s="724" t="s">
        <v>155</v>
      </c>
      <c r="AL79" s="720"/>
      <c r="AM79" s="721">
        <v>6059</v>
      </c>
      <c r="AN79" s="722">
        <v>0.28050338355614318</v>
      </c>
    </row>
    <row r="80" spans="1:40" ht="15" customHeight="1">
      <c r="A80" s="770" t="s">
        <v>412</v>
      </c>
      <c r="B80" s="681"/>
      <c r="C80" s="771">
        <v>6013</v>
      </c>
      <c r="D80" s="714">
        <v>10</v>
      </c>
      <c r="E80" s="745"/>
      <c r="F80" s="745"/>
      <c r="G80" s="745"/>
      <c r="H80" s="745"/>
      <c r="I80" s="745"/>
      <c r="J80" s="745"/>
      <c r="K80" s="745"/>
      <c r="L80" s="745"/>
      <c r="M80" s="745"/>
      <c r="N80" s="745"/>
      <c r="O80" s="745"/>
      <c r="P80" s="745"/>
      <c r="Q80" s="746">
        <v>0</v>
      </c>
      <c r="R80" s="717" t="str">
        <f>IFERROR(VLOOKUP($C80,[23]Nod!$A$3:$E$992,4,FALSE)," ")</f>
        <v>MDN34</v>
      </c>
      <c r="S80" s="717">
        <f>IFERROR(VLOOKUP($C80,[23]Nod!$A$3:$E$992,5,FALSE)," ")</f>
        <v>4</v>
      </c>
      <c r="T80" s="733">
        <v>10</v>
      </c>
      <c r="U80" s="734"/>
      <c r="V80" s="735"/>
      <c r="W80" s="742">
        <f>+'[24]Resumen Modelo'!G70</f>
        <v>43.45</v>
      </c>
      <c r="X80" s="742">
        <f>+'[24]Resumen Modelo'!H70</f>
        <v>43.75</v>
      </c>
      <c r="Y80" s="742">
        <f>+'[24]Resumen Modelo'!I70</f>
        <v>44.66</v>
      </c>
      <c r="Z80" s="742">
        <f>+'[24]Resumen Modelo'!J70</f>
        <v>44.59</v>
      </c>
      <c r="AA80" s="742">
        <f>+'[24]Resumen Modelo'!K70</f>
        <v>42.88</v>
      </c>
      <c r="AB80" s="742">
        <f>+'[24]Resumen Modelo'!L70</f>
        <v>43.31</v>
      </c>
      <c r="AC80" s="742">
        <f>+'[24]Resumen Modelo'!M70</f>
        <v>41.980000000000004</v>
      </c>
      <c r="AD80" s="742">
        <f>+'[24]Resumen Modelo'!N70</f>
        <v>42.87</v>
      </c>
      <c r="AE80" s="742">
        <f>+'[24]Resumen Modelo'!O70</f>
        <v>43.980000000000004</v>
      </c>
      <c r="AF80" s="742">
        <f>+'[24]Resumen Modelo'!P70</f>
        <v>44.32</v>
      </c>
      <c r="AG80" s="742">
        <f>+'[24]Resumen Modelo'!Q70</f>
        <v>44.58</v>
      </c>
      <c r="AH80" s="742">
        <f>+'[24]Resumen Modelo'!R70</f>
        <v>44.31</v>
      </c>
      <c r="AI80" s="742">
        <f>SUM(AI81:AI84)</f>
        <v>45.04</v>
      </c>
      <c r="AJ80" s="679" t="str">
        <f>IFERROR(VLOOKUP($V69,#REF!,4,FALSE)," ")</f>
        <v xml:space="preserve"> </v>
      </c>
      <c r="AK80" s="729" t="s">
        <v>146</v>
      </c>
      <c r="AL80" s="730"/>
      <c r="AM80" s="731"/>
      <c r="AN80" s="732"/>
    </row>
    <row r="81" spans="1:40" ht="15" customHeight="1">
      <c r="A81" s="770" t="s">
        <v>413</v>
      </c>
      <c r="B81" s="681"/>
      <c r="C81" s="771">
        <v>6013</v>
      </c>
      <c r="D81" s="714">
        <v>10</v>
      </c>
      <c r="E81" s="745"/>
      <c r="F81" s="745"/>
      <c r="G81" s="745"/>
      <c r="H81" s="745"/>
      <c r="I81" s="745"/>
      <c r="J81" s="745"/>
      <c r="K81" s="745"/>
      <c r="L81" s="745"/>
      <c r="M81" s="745"/>
      <c r="N81" s="745"/>
      <c r="O81" s="745"/>
      <c r="P81" s="745"/>
      <c r="Q81" s="746">
        <v>0</v>
      </c>
      <c r="R81" s="717" t="str">
        <f>IFERROR(VLOOKUP($C81,[23]Nod!$A$3:$E$992,4,FALSE)," ")</f>
        <v>MDN34</v>
      </c>
      <c r="S81" s="717">
        <f>IFERROR(VLOOKUP($C81,[23]Nod!$A$3:$E$992,5,FALSE)," ")</f>
        <v>4</v>
      </c>
      <c r="T81" s="718" t="s">
        <v>87</v>
      </c>
      <c r="V81" s="713"/>
      <c r="W81" s="715">
        <f>+'[24]Resumen Modelo'!G71</f>
        <v>0</v>
      </c>
      <c r="X81" s="715">
        <f>+'[24]Resumen Modelo'!H71</f>
        <v>0</v>
      </c>
      <c r="Y81" s="715">
        <f>+'[24]Resumen Modelo'!I71</f>
        <v>0</v>
      </c>
      <c r="Z81" s="715">
        <f>+'[24]Resumen Modelo'!J71</f>
        <v>0</v>
      </c>
      <c r="AA81" s="715">
        <f>+'[24]Resumen Modelo'!K71</f>
        <v>0</v>
      </c>
      <c r="AB81" s="715">
        <f>+'[24]Resumen Modelo'!L71</f>
        <v>0</v>
      </c>
      <c r="AC81" s="715">
        <f>+'[24]Resumen Modelo'!M71</f>
        <v>0</v>
      </c>
      <c r="AD81" s="715">
        <f>+'[24]Resumen Modelo'!N71</f>
        <v>0</v>
      </c>
      <c r="AE81" s="715">
        <f>+'[24]Resumen Modelo'!O71</f>
        <v>0</v>
      </c>
      <c r="AF81" s="715">
        <f>+'[24]Resumen Modelo'!P71</f>
        <v>0</v>
      </c>
      <c r="AG81" s="715">
        <f>+'[24]Resumen Modelo'!Q71</f>
        <v>0</v>
      </c>
      <c r="AH81" s="715">
        <f>+'[24]Resumen Modelo'!R71</f>
        <v>0</v>
      </c>
      <c r="AI81" s="750"/>
      <c r="AJ81" s="679"/>
      <c r="AK81" s="737">
        <v>10</v>
      </c>
      <c r="AL81" s="738"/>
      <c r="AM81" s="739"/>
      <c r="AN81" s="740">
        <v>46.41</v>
      </c>
    </row>
    <row r="82" spans="1:40" ht="15" customHeight="1">
      <c r="A82" s="770" t="s">
        <v>414</v>
      </c>
      <c r="B82" s="681"/>
      <c r="C82" s="771">
        <v>6013</v>
      </c>
      <c r="D82" s="714">
        <v>10</v>
      </c>
      <c r="E82" s="745"/>
      <c r="F82" s="745"/>
      <c r="G82" s="745"/>
      <c r="H82" s="745"/>
      <c r="I82" s="745"/>
      <c r="J82" s="745"/>
      <c r="K82" s="745"/>
      <c r="L82" s="745"/>
      <c r="M82" s="745"/>
      <c r="N82" s="745"/>
      <c r="O82" s="745"/>
      <c r="P82" s="745"/>
      <c r="Q82" s="746">
        <v>0</v>
      </c>
      <c r="R82" s="717" t="str">
        <f>IFERROR(VLOOKUP($C82,[23]Nod!$A$3:$E$992,4,FALSE)," ")</f>
        <v>MDN34</v>
      </c>
      <c r="S82" s="717">
        <f>IFERROR(VLOOKUP($C82,[23]Nod!$A$3:$E$992,5,FALSE)," ")</f>
        <v>4</v>
      </c>
      <c r="T82" s="723" t="s">
        <v>189</v>
      </c>
      <c r="V82" s="713">
        <v>6340</v>
      </c>
      <c r="W82" s="715">
        <f>+'[24]Resumen Modelo'!G72</f>
        <v>26.55</v>
      </c>
      <c r="X82" s="715">
        <f>+'[24]Resumen Modelo'!H72</f>
        <v>26.42</v>
      </c>
      <c r="Y82" s="715">
        <f>+'[24]Resumen Modelo'!I72</f>
        <v>26.42</v>
      </c>
      <c r="Z82" s="715">
        <f>+'[24]Resumen Modelo'!J72</f>
        <v>26.61</v>
      </c>
      <c r="AA82" s="715">
        <f>+'[24]Resumen Modelo'!K72</f>
        <v>26.44</v>
      </c>
      <c r="AB82" s="715">
        <f>+'[24]Resumen Modelo'!L72</f>
        <v>26.8</v>
      </c>
      <c r="AC82" s="715">
        <f>+'[24]Resumen Modelo'!M72</f>
        <v>26.48</v>
      </c>
      <c r="AD82" s="715">
        <f>+'[24]Resumen Modelo'!N72</f>
        <v>26.56</v>
      </c>
      <c r="AE82" s="715">
        <f>+'[24]Resumen Modelo'!O72</f>
        <v>26.56</v>
      </c>
      <c r="AF82" s="715">
        <f>+'[24]Resumen Modelo'!P72</f>
        <v>26.35</v>
      </c>
      <c r="AG82" s="715">
        <f>+'[24]Resumen Modelo'!Q72</f>
        <v>26.4</v>
      </c>
      <c r="AH82" s="715">
        <f>+'[24]Resumen Modelo'!R72</f>
        <v>26.43</v>
      </c>
      <c r="AI82" s="750">
        <f>+MAX(W82:AH82)</f>
        <v>26.8</v>
      </c>
      <c r="AJ82" s="679" t="str">
        <f>IFERROR(VLOOKUP($V70,#REF!,4,FALSE)," ")</f>
        <v xml:space="preserve"> </v>
      </c>
      <c r="AK82" s="719" t="s">
        <v>87</v>
      </c>
      <c r="AL82" s="720"/>
      <c r="AM82" s="721"/>
      <c r="AN82" s="722"/>
    </row>
    <row r="83" spans="1:40" ht="15" customHeight="1">
      <c r="A83" s="770" t="s">
        <v>415</v>
      </c>
      <c r="B83" s="681"/>
      <c r="C83" s="771">
        <v>6013</v>
      </c>
      <c r="D83" s="714">
        <v>10</v>
      </c>
      <c r="E83" s="745"/>
      <c r="F83" s="745"/>
      <c r="G83" s="745"/>
      <c r="H83" s="745"/>
      <c r="I83" s="745"/>
      <c r="J83" s="745"/>
      <c r="K83" s="745"/>
      <c r="L83" s="745"/>
      <c r="M83" s="745"/>
      <c r="N83" s="745"/>
      <c r="O83" s="745"/>
      <c r="P83" s="745"/>
      <c r="Q83" s="746">
        <v>0</v>
      </c>
      <c r="R83" s="717" t="str">
        <f>IFERROR(VLOOKUP($C83,[23]Nod!$A$3:$E$992,4,FALSE)," ")</f>
        <v>MDN34</v>
      </c>
      <c r="S83" s="717">
        <f>IFERROR(VLOOKUP($C83,[23]Nod!$A$3:$E$992,5,FALSE)," ")</f>
        <v>4</v>
      </c>
      <c r="T83" s="723" t="s">
        <v>416</v>
      </c>
      <c r="V83" s="713">
        <v>6262</v>
      </c>
      <c r="W83" s="715">
        <f>+'[24]Resumen Modelo'!G73</f>
        <v>16.899999999999999</v>
      </c>
      <c r="X83" s="715">
        <f>+'[24]Resumen Modelo'!H73</f>
        <v>17.329999999999998</v>
      </c>
      <c r="Y83" s="715">
        <f>+'[24]Resumen Modelo'!I73</f>
        <v>18.239999999999998</v>
      </c>
      <c r="Z83" s="715">
        <f>+'[24]Resumen Modelo'!J73</f>
        <v>17.98</v>
      </c>
      <c r="AA83" s="715">
        <f>+'[24]Resumen Modelo'!K73</f>
        <v>16.440000000000001</v>
      </c>
      <c r="AB83" s="715">
        <f>+'[24]Resumen Modelo'!L73</f>
        <v>16.510000000000002</v>
      </c>
      <c r="AC83" s="715">
        <f>+'[24]Resumen Modelo'!M73</f>
        <v>15.5</v>
      </c>
      <c r="AD83" s="715">
        <f>+'[24]Resumen Modelo'!N73</f>
        <v>16.309999999999999</v>
      </c>
      <c r="AE83" s="715">
        <f>+'[24]Resumen Modelo'!O73</f>
        <v>17.420000000000002</v>
      </c>
      <c r="AF83" s="715">
        <f>+'[24]Resumen Modelo'!P73</f>
        <v>17.97</v>
      </c>
      <c r="AG83" s="715">
        <f>+'[24]Resumen Modelo'!Q73</f>
        <v>18.18</v>
      </c>
      <c r="AH83" s="715">
        <f>+'[24]Resumen Modelo'!R73</f>
        <v>17.88</v>
      </c>
      <c r="AI83" s="750">
        <f>+MAX(W83:AH83)</f>
        <v>18.239999999999998</v>
      </c>
      <c r="AJ83" s="679" t="str">
        <f>IFERROR(VLOOKUP($V71,#REF!,4,FALSE)," ")</f>
        <v xml:space="preserve"> </v>
      </c>
      <c r="AK83" s="724" t="s">
        <v>189</v>
      </c>
      <c r="AL83" s="720"/>
      <c r="AM83" s="721">
        <v>6340</v>
      </c>
      <c r="AN83" s="722">
        <v>27.75</v>
      </c>
    </row>
    <row r="84" spans="1:40" ht="15" customHeight="1">
      <c r="A84" s="770" t="s">
        <v>417</v>
      </c>
      <c r="B84" s="681"/>
      <c r="C84" s="772">
        <v>6182</v>
      </c>
      <c r="D84" s="714">
        <v>10</v>
      </c>
      <c r="E84" s="745"/>
      <c r="F84" s="745"/>
      <c r="G84" s="745"/>
      <c r="H84" s="745"/>
      <c r="I84" s="745"/>
      <c r="J84" s="745"/>
      <c r="K84" s="745"/>
      <c r="L84" s="745"/>
      <c r="M84" s="745"/>
      <c r="N84" s="745"/>
      <c r="O84" s="745"/>
      <c r="P84" s="745"/>
      <c r="Q84" s="746">
        <v>0</v>
      </c>
      <c r="R84" s="717" t="str">
        <f>IFERROR(VLOOKUP($C84,[23]Nod!$A$3:$E$992,4,FALSE)," ")</f>
        <v>VEL230</v>
      </c>
      <c r="S84" s="717">
        <f>IFERROR(VLOOKUP($C84,[23]Nod!$A$3:$E$992,5,FALSE)," ")</f>
        <v>4</v>
      </c>
      <c r="T84" s="725" t="s">
        <v>146</v>
      </c>
      <c r="U84" s="726"/>
      <c r="V84" s="727"/>
      <c r="W84" s="727"/>
      <c r="X84" s="727"/>
      <c r="Y84" s="727"/>
      <c r="Z84" s="727"/>
      <c r="AA84" s="727"/>
      <c r="AB84" s="727"/>
      <c r="AC84" s="727"/>
      <c r="AD84" s="727"/>
      <c r="AE84" s="727"/>
      <c r="AF84" s="727"/>
      <c r="AG84" s="727"/>
      <c r="AH84" s="727"/>
      <c r="AI84" s="757"/>
      <c r="AJ84" s="679" t="str">
        <f>IFERROR(VLOOKUP($V72,#REF!,4,FALSE)," ")</f>
        <v xml:space="preserve"> </v>
      </c>
      <c r="AK84" s="724" t="s">
        <v>416</v>
      </c>
      <c r="AL84" s="720"/>
      <c r="AM84" s="721">
        <v>6262</v>
      </c>
      <c r="AN84" s="722">
        <v>18.66</v>
      </c>
    </row>
    <row r="85" spans="1:40" ht="15" customHeight="1">
      <c r="A85" s="770" t="s">
        <v>418</v>
      </c>
      <c r="B85" s="681"/>
      <c r="C85" s="772">
        <v>6182</v>
      </c>
      <c r="D85" s="714">
        <v>9.98</v>
      </c>
      <c r="E85" s="745"/>
      <c r="F85" s="745"/>
      <c r="G85" s="745"/>
      <c r="H85" s="745"/>
      <c r="I85" s="745"/>
      <c r="J85" s="745"/>
      <c r="K85" s="745"/>
      <c r="L85" s="745"/>
      <c r="M85" s="745"/>
      <c r="N85" s="745"/>
      <c r="O85" s="745"/>
      <c r="P85" s="745"/>
      <c r="Q85" s="746">
        <v>0</v>
      </c>
      <c r="R85" s="717" t="str">
        <f>IFERROR(VLOOKUP($C85,[23]Nod!$A$3:$E$992,4,FALSE)," ")</f>
        <v>VEL230</v>
      </c>
      <c r="S85" s="717">
        <f>IFERROR(VLOOKUP($C85,[23]Nod!$A$3:$E$992,5,FALSE)," ")</f>
        <v>4</v>
      </c>
      <c r="AB85" s="773"/>
      <c r="AJ85" s="679" t="str">
        <f>IFERROR(VLOOKUP($V73,#REF!,4,FALSE)," ")</f>
        <v xml:space="preserve"> </v>
      </c>
      <c r="AK85" s="729" t="s">
        <v>146</v>
      </c>
      <c r="AL85" s="730"/>
      <c r="AM85" s="731"/>
      <c r="AN85" s="732"/>
    </row>
    <row r="86" spans="1:40" ht="15" customHeight="1">
      <c r="A86" s="770" t="s">
        <v>419</v>
      </c>
      <c r="B86" s="681"/>
      <c r="C86" s="772">
        <v>6182</v>
      </c>
      <c r="D86" s="714">
        <v>31.8</v>
      </c>
      <c r="E86" s="745"/>
      <c r="F86" s="745"/>
      <c r="G86" s="745"/>
      <c r="H86" s="745"/>
      <c r="I86" s="745"/>
      <c r="J86" s="745"/>
      <c r="K86" s="745"/>
      <c r="L86" s="745"/>
      <c r="M86" s="745"/>
      <c r="N86" s="745"/>
      <c r="O86" s="745"/>
      <c r="P86" s="745"/>
      <c r="Q86" s="746">
        <v>0</v>
      </c>
      <c r="R86" s="717" t="str">
        <f>IFERROR(VLOOKUP($C86,[23]Nod!$A$3:$E$992,4,FALSE)," ")</f>
        <v>VEL230</v>
      </c>
      <c r="S86" s="717">
        <f>IFERROR(VLOOKUP($C86,[23]Nod!$A$3:$E$992,5,FALSE)," ")</f>
        <v>4</v>
      </c>
      <c r="AB86" s="773"/>
      <c r="AJ86" s="679" t="str">
        <f>IFERROR(VLOOKUP($V74,#REF!,4,FALSE)," ")</f>
        <v xml:space="preserve"> </v>
      </c>
      <c r="AK86" s="679" t="str">
        <f>IFERROR(VLOOKUP($V74,#REF!,5,FALSE)," ")</f>
        <v xml:space="preserve"> </v>
      </c>
    </row>
    <row r="87" spans="1:40" ht="15" customHeight="1">
      <c r="A87" s="770" t="s">
        <v>420</v>
      </c>
      <c r="C87" s="772">
        <v>6380</v>
      </c>
      <c r="D87" s="714"/>
      <c r="E87" s="745"/>
      <c r="F87" s="745"/>
      <c r="G87" s="745"/>
      <c r="H87" s="745"/>
      <c r="I87" s="745"/>
      <c r="J87" s="745"/>
      <c r="K87" s="745"/>
      <c r="L87" s="745"/>
      <c r="M87" s="745"/>
      <c r="N87" s="745"/>
      <c r="O87" s="745"/>
      <c r="P87" s="745"/>
      <c r="Q87" s="746"/>
      <c r="R87" s="717" t="str">
        <f>IFERROR(VLOOKUP($C87,[23]Nod!$A$3:$E$992,4,FALSE)," ")</f>
        <v>BOQIII230</v>
      </c>
      <c r="S87" s="717">
        <f>IFERROR(VLOOKUP($C87,[23]Nod!$A$3:$E$992,5,FALSE)," ")</f>
        <v>4</v>
      </c>
      <c r="AJ87" s="679" t="str">
        <f>IFERROR(VLOOKUP($V75,#REF!,4,FALSE)," ")</f>
        <v xml:space="preserve"> </v>
      </c>
      <c r="AK87" s="679" t="str">
        <f>IFERROR(VLOOKUP($V75,#REF!,5,FALSE)," ")</f>
        <v xml:space="preserve"> </v>
      </c>
    </row>
    <row r="88" spans="1:40" ht="15" customHeight="1">
      <c r="A88" s="770" t="s">
        <v>421</v>
      </c>
      <c r="C88" s="772">
        <v>6380</v>
      </c>
      <c r="D88" s="714"/>
      <c r="E88" s="745"/>
      <c r="F88" s="745"/>
      <c r="G88" s="745"/>
      <c r="H88" s="745"/>
      <c r="I88" s="745"/>
      <c r="J88" s="745"/>
      <c r="K88" s="745"/>
      <c r="L88" s="745"/>
      <c r="M88" s="745"/>
      <c r="N88" s="745"/>
      <c r="O88" s="745"/>
      <c r="P88" s="745"/>
      <c r="Q88" s="746"/>
      <c r="R88" s="717" t="str">
        <f>IFERROR(VLOOKUP($C88,[23]Nod!$A$3:$E$992,4,FALSE)," ")</f>
        <v>BOQIII230</v>
      </c>
      <c r="S88" s="717">
        <f>IFERROR(VLOOKUP($C88,[23]Nod!$A$3:$E$992,5,FALSE)," ")</f>
        <v>4</v>
      </c>
      <c r="W88" s="680"/>
      <c r="X88" s="679"/>
      <c r="Y88" s="679"/>
      <c r="AH88" s="773"/>
      <c r="AJ88" s="679" t="str">
        <f>IFERROR(VLOOKUP($V76,#REF!,4,FALSE)," ")</f>
        <v xml:space="preserve"> </v>
      </c>
      <c r="AK88" s="679" t="str">
        <f>IFERROR(VLOOKUP($V76,#REF!,5,FALSE)," ")</f>
        <v xml:space="preserve"> </v>
      </c>
    </row>
    <row r="89" spans="1:40" ht="15" customHeight="1">
      <c r="A89" s="770" t="s">
        <v>422</v>
      </c>
      <c r="C89" s="772">
        <v>6380</v>
      </c>
      <c r="D89" s="714"/>
      <c r="E89" s="745"/>
      <c r="F89" s="745"/>
      <c r="G89" s="745"/>
      <c r="H89" s="745"/>
      <c r="I89" s="745"/>
      <c r="J89" s="745"/>
      <c r="K89" s="745"/>
      <c r="L89" s="745"/>
      <c r="M89" s="745"/>
      <c r="N89" s="745"/>
      <c r="O89" s="745"/>
      <c r="P89" s="745"/>
      <c r="Q89" s="746"/>
      <c r="R89" s="717" t="str">
        <f>IFERROR(VLOOKUP($C89,[23]Nod!$A$3:$E$992,4,FALSE)," ")</f>
        <v>BOQIII230</v>
      </c>
      <c r="S89" s="717">
        <f>IFERROR(VLOOKUP($C89,[23]Nod!$A$3:$E$992,5,FALSE)," ")</f>
        <v>4</v>
      </c>
      <c r="W89" s="680"/>
      <c r="X89" s="679"/>
      <c r="Y89" s="679"/>
      <c r="AH89" s="773"/>
      <c r="AJ89" s="679" t="str">
        <f>IFERROR(VLOOKUP($V77,#REF!,4,FALSE)," ")</f>
        <v xml:space="preserve"> </v>
      </c>
      <c r="AK89" s="679" t="str">
        <f>IFERROR(VLOOKUP($V77,#REF!,5,FALSE)," ")</f>
        <v xml:space="preserve"> </v>
      </c>
    </row>
    <row r="90" spans="1:40" ht="15" customHeight="1">
      <c r="A90" s="770" t="s">
        <v>423</v>
      </c>
      <c r="C90" s="772">
        <v>6013</v>
      </c>
      <c r="D90" s="714"/>
      <c r="E90" s="745"/>
      <c r="F90" s="745"/>
      <c r="G90" s="745"/>
      <c r="H90" s="745"/>
      <c r="I90" s="745"/>
      <c r="J90" s="745"/>
      <c r="K90" s="745"/>
      <c r="L90" s="745"/>
      <c r="M90" s="745"/>
      <c r="N90" s="745"/>
      <c r="O90" s="745"/>
      <c r="P90" s="745"/>
      <c r="Q90" s="746"/>
      <c r="R90" s="717" t="str">
        <f>IFERROR(VLOOKUP($C90,[23]Nod!$A$3:$E$992,4,FALSE)," ")</f>
        <v>MDN34</v>
      </c>
      <c r="S90" s="717">
        <f>IFERROR(VLOOKUP($C90,[23]Nod!$A$3:$E$992,5,FALSE)," ")</f>
        <v>4</v>
      </c>
      <c r="W90" s="774"/>
      <c r="X90" s="679"/>
      <c r="Y90" s="679"/>
      <c r="AH90" s="680"/>
      <c r="AJ90" s="679" t="str">
        <f>IFERROR(VLOOKUP($V78,#REF!,4,FALSE)," ")</f>
        <v xml:space="preserve"> </v>
      </c>
      <c r="AK90" s="679" t="str">
        <f>IFERROR(VLOOKUP($V78,#REF!,5,FALSE)," ")</f>
        <v xml:space="preserve"> </v>
      </c>
    </row>
    <row r="91" spans="1:40" ht="15" customHeight="1">
      <c r="A91" s="770" t="s">
        <v>424</v>
      </c>
      <c r="C91" s="772">
        <v>6013</v>
      </c>
      <c r="D91" s="714"/>
      <c r="E91" s="745"/>
      <c r="F91" s="745"/>
      <c r="G91" s="745"/>
      <c r="H91" s="745"/>
      <c r="I91" s="745"/>
      <c r="J91" s="745"/>
      <c r="K91" s="745"/>
      <c r="L91" s="745"/>
      <c r="M91" s="745"/>
      <c r="N91" s="745"/>
      <c r="O91" s="745"/>
      <c r="P91" s="745"/>
      <c r="Q91" s="746"/>
      <c r="R91" s="717" t="str">
        <f>IFERROR(VLOOKUP($C91,[23]Nod!$A$3:$E$992,4,FALSE)," ")</f>
        <v>MDN34</v>
      </c>
      <c r="S91" s="717">
        <f>IFERROR(VLOOKUP($C91,[23]Nod!$A$3:$E$992,5,FALSE)," ")</f>
        <v>4</v>
      </c>
      <c r="W91" s="774"/>
      <c r="X91" s="679"/>
      <c r="Y91" s="679"/>
      <c r="AH91" s="680"/>
      <c r="AJ91" s="679" t="str">
        <f>IFERROR(VLOOKUP($V79,#REF!,4,FALSE)," ")</f>
        <v xml:space="preserve"> </v>
      </c>
      <c r="AK91" s="679" t="str">
        <f>IFERROR(VLOOKUP($V79,#REF!,5,FALSE)," ")</f>
        <v xml:space="preserve"> </v>
      </c>
    </row>
    <row r="92" spans="1:40" ht="15" customHeight="1">
      <c r="A92" s="770" t="s">
        <v>425</v>
      </c>
      <c r="C92" s="775">
        <v>6013</v>
      </c>
      <c r="D92" s="714"/>
      <c r="E92" s="745"/>
      <c r="F92" s="745"/>
      <c r="G92" s="745"/>
      <c r="H92" s="745"/>
      <c r="I92" s="745"/>
      <c r="J92" s="745"/>
      <c r="K92" s="745"/>
      <c r="L92" s="745"/>
      <c r="M92" s="745"/>
      <c r="N92" s="745"/>
      <c r="O92" s="745"/>
      <c r="P92" s="745"/>
      <c r="Q92" s="746"/>
      <c r="R92" s="717" t="str">
        <f>IFERROR(VLOOKUP($C92,[23]Nod!$A$3:$E$992,4,FALSE)," ")</f>
        <v>MDN34</v>
      </c>
      <c r="S92" s="717">
        <f>IFERROR(VLOOKUP($C92,[23]Nod!$A$3:$E$992,5,FALSE)," ")</f>
        <v>4</v>
      </c>
      <c r="X92" s="679"/>
      <c r="Y92" s="679"/>
      <c r="AH92" s="773"/>
      <c r="AJ92" s="679" t="str">
        <f>IFERROR(VLOOKUP($V80,#REF!,4,FALSE)," ")</f>
        <v xml:space="preserve"> </v>
      </c>
      <c r="AK92" s="679" t="str">
        <f>IFERROR(VLOOKUP($V80,#REF!,5,FALSE)," ")</f>
        <v xml:space="preserve"> </v>
      </c>
    </row>
    <row r="93" spans="1:40" ht="15" customHeight="1">
      <c r="A93" s="770" t="s">
        <v>426</v>
      </c>
      <c r="C93" s="775">
        <v>6520</v>
      </c>
      <c r="D93" s="714"/>
      <c r="E93" s="745"/>
      <c r="F93" s="745"/>
      <c r="G93" s="745"/>
      <c r="H93" s="745"/>
      <c r="I93" s="745"/>
      <c r="J93" s="745"/>
      <c r="K93" s="745"/>
      <c r="L93" s="745"/>
      <c r="M93" s="745"/>
      <c r="N93" s="745"/>
      <c r="O93" s="745"/>
      <c r="P93" s="745"/>
      <c r="Q93" s="746"/>
      <c r="R93" s="717" t="str">
        <f>IFERROR(VLOOKUP($C93,[23]Nod!$A$3:$E$992,4,FALSE)," ")</f>
        <v>SBA34</v>
      </c>
      <c r="S93" s="717">
        <f>IFERROR(VLOOKUP($C93,[23]Nod!$A$3:$E$992,5,FALSE)," ")</f>
        <v>4</v>
      </c>
      <c r="X93" s="679"/>
      <c r="Y93" s="679"/>
      <c r="AJ93" s="679" t="str">
        <f>IFERROR(VLOOKUP($V81,#REF!,4,FALSE)," ")</f>
        <v xml:space="preserve"> </v>
      </c>
      <c r="AK93" s="679" t="str">
        <f>IFERROR(VLOOKUP($V81,#REF!,5,FALSE)," ")</f>
        <v xml:space="preserve"> </v>
      </c>
    </row>
    <row r="94" spans="1:40" ht="15" customHeight="1">
      <c r="A94" s="770" t="s">
        <v>427</v>
      </c>
      <c r="C94" s="775">
        <v>6520</v>
      </c>
      <c r="D94" s="714"/>
      <c r="E94" s="745"/>
      <c r="F94" s="745"/>
      <c r="G94" s="745"/>
      <c r="H94" s="745"/>
      <c r="I94" s="745"/>
      <c r="J94" s="745"/>
      <c r="K94" s="745"/>
      <c r="L94" s="745"/>
      <c r="M94" s="745"/>
      <c r="N94" s="745"/>
      <c r="O94" s="745"/>
      <c r="P94" s="745"/>
      <c r="Q94" s="746"/>
      <c r="R94" s="717" t="str">
        <f>IFERROR(VLOOKUP($C94,[23]Nod!$A$3:$E$992,4,FALSE)," ")</f>
        <v>SBA34</v>
      </c>
      <c r="S94" s="717">
        <f>IFERROR(VLOOKUP($C94,[23]Nod!$A$3:$E$992,5,FALSE)," ")</f>
        <v>4</v>
      </c>
      <c r="X94" s="679"/>
      <c r="Y94" s="679"/>
      <c r="AJ94" s="679" t="str">
        <f>IFERROR(VLOOKUP($V82,#REF!,4,FALSE)," ")</f>
        <v xml:space="preserve"> </v>
      </c>
      <c r="AK94" s="679" t="str">
        <f>IFERROR(VLOOKUP($V82,#REF!,5,FALSE)," ")</f>
        <v xml:space="preserve"> </v>
      </c>
    </row>
    <row r="95" spans="1:40" ht="15" customHeight="1">
      <c r="A95" s="758" t="s">
        <v>146</v>
      </c>
      <c r="B95" s="726"/>
      <c r="C95" s="727"/>
      <c r="D95" s="759"/>
      <c r="E95" s="759"/>
      <c r="F95" s="759"/>
      <c r="G95" s="759"/>
      <c r="H95" s="759"/>
      <c r="I95" s="759"/>
      <c r="J95" s="759"/>
      <c r="K95" s="759"/>
      <c r="L95" s="759"/>
      <c r="M95" s="759"/>
      <c r="N95" s="759"/>
      <c r="O95" s="759"/>
      <c r="P95" s="759"/>
      <c r="Q95" s="760"/>
      <c r="R95" s="717" t="str">
        <f>IFERROR(VLOOKUP(#REF!,[22]Nod!$A$3:$E$993,4,FALSE)," ")</f>
        <v xml:space="preserve"> </v>
      </c>
      <c r="S95" s="717" t="str">
        <f>IFERROR(VLOOKUP(#REF!,[22]Nod!$A$3:$E$993,5,FALSE)," ")</f>
        <v xml:space="preserve"> </v>
      </c>
      <c r="X95" s="679"/>
      <c r="Y95" s="679"/>
      <c r="AJ95" s="679" t="str">
        <f>IFERROR(VLOOKUP($V83,#REF!,4,FALSE)," ")</f>
        <v xml:space="preserve"> </v>
      </c>
      <c r="AK95" s="679" t="str">
        <f>IFERROR(VLOOKUP($V83,#REF!,5,FALSE)," ")</f>
        <v xml:space="preserve"> </v>
      </c>
    </row>
    <row r="96" spans="1:40" ht="15" customHeight="1">
      <c r="A96" s="707">
        <v>5</v>
      </c>
      <c r="B96" s="703"/>
      <c r="C96" s="704"/>
      <c r="D96" s="705">
        <f>SUM(D97:D130)</f>
        <v>811.23862100000008</v>
      </c>
      <c r="E96" s="736">
        <f>SUM(E97:E124)</f>
        <v>140.88</v>
      </c>
      <c r="F96" s="736">
        <f>SUM(F97:F124)</f>
        <v>171.1</v>
      </c>
      <c r="G96" s="736">
        <f>SUM(G97:G124)</f>
        <v>134.43</v>
      </c>
      <c r="H96" s="736">
        <f>SUM(H97:H124)</f>
        <v>164.54999999999998</v>
      </c>
      <c r="I96" s="736">
        <f t="shared" ref="I96:P96" si="11">SUM(I97:I126)</f>
        <v>173.13</v>
      </c>
      <c r="J96" s="736">
        <f t="shared" si="11"/>
        <v>15.58</v>
      </c>
      <c r="K96" s="736">
        <f t="shared" si="11"/>
        <v>91.55</v>
      </c>
      <c r="L96" s="736">
        <f t="shared" si="11"/>
        <v>172.47</v>
      </c>
      <c r="M96" s="736">
        <f t="shared" si="11"/>
        <v>207.43</v>
      </c>
      <c r="N96" s="736">
        <f t="shared" si="11"/>
        <v>129.55325200000001</v>
      </c>
      <c r="O96" s="736">
        <f t="shared" si="11"/>
        <v>190.01563200000001</v>
      </c>
      <c r="P96" s="736">
        <f t="shared" si="11"/>
        <v>216.974568</v>
      </c>
      <c r="Q96" s="755"/>
      <c r="R96" s="717" t="str">
        <f>IFERROR(VLOOKUP(#REF!,[22]Nod!$A$3:$E$993,4,FALSE)," ")</f>
        <v xml:space="preserve"> </v>
      </c>
      <c r="S96" s="717" t="str">
        <f>IFERROR(VLOOKUP(#REF!,[22]Nod!$A$3:$E$993,5,FALSE)," ")</f>
        <v xml:space="preserve"> </v>
      </c>
      <c r="X96" s="679"/>
      <c r="Y96" s="679"/>
      <c r="AJ96" s="679" t="str">
        <f>IFERROR(VLOOKUP(#REF!,#REF!,4,FALSE)," ")</f>
        <v xml:space="preserve"> </v>
      </c>
      <c r="AK96" s="679" t="str">
        <f>IFERROR(VLOOKUP(#REF!,#REF!,5,FALSE)," ")</f>
        <v xml:space="preserve"> </v>
      </c>
    </row>
    <row r="97" spans="1:37" ht="15" customHeight="1">
      <c r="A97" s="712" t="s">
        <v>171</v>
      </c>
      <c r="C97" s="763">
        <v>6010</v>
      </c>
      <c r="D97" s="714">
        <v>5.35</v>
      </c>
      <c r="E97" s="715">
        <v>5.35</v>
      </c>
      <c r="F97" s="715">
        <v>5.35</v>
      </c>
      <c r="G97" s="715">
        <v>5.35</v>
      </c>
      <c r="H97" s="715">
        <v>5.35</v>
      </c>
      <c r="I97" s="715">
        <v>5.35</v>
      </c>
      <c r="J97" s="715">
        <v>5.35</v>
      </c>
      <c r="K97" s="715">
        <v>5.35</v>
      </c>
      <c r="L97" s="715">
        <v>5.35</v>
      </c>
      <c r="M97" s="715">
        <v>5.35</v>
      </c>
      <c r="N97" s="715">
        <v>5.35</v>
      </c>
      <c r="O97" s="715">
        <v>5.35</v>
      </c>
      <c r="P97" s="715">
        <v>5.35</v>
      </c>
      <c r="Q97" s="716">
        <v>0</v>
      </c>
      <c r="R97" s="717" t="str">
        <f>IFERROR(VLOOKUP($C97,[23]Nod!$A$3:$E$992,4,FALSE)," ")</f>
        <v>LSA34</v>
      </c>
      <c r="S97" s="717">
        <f>IFERROR(VLOOKUP($C97,[23]Nod!$A$3:$E$992,5,FALSE)," ")</f>
        <v>5</v>
      </c>
      <c r="X97" s="679"/>
      <c r="Y97" s="679"/>
      <c r="AJ97" s="679" t="str">
        <f>IFERROR(VLOOKUP($V84,#REF!,4,FALSE)," ")</f>
        <v xml:space="preserve"> </v>
      </c>
      <c r="AK97" s="679" t="str">
        <f>IFERROR(VLOOKUP($V84,#REF!,5,FALSE)," ")</f>
        <v xml:space="preserve"> </v>
      </c>
    </row>
    <row r="98" spans="1:37" ht="15" customHeight="1">
      <c r="A98" s="723" t="s">
        <v>428</v>
      </c>
      <c r="C98" s="763">
        <v>6010</v>
      </c>
      <c r="D98" s="714">
        <v>1.31</v>
      </c>
      <c r="E98" s="715">
        <v>1.3100000000000005</v>
      </c>
      <c r="F98" s="715">
        <v>1.3100000000000005</v>
      </c>
      <c r="G98" s="715">
        <v>1.3100000000000005</v>
      </c>
      <c r="H98" s="715">
        <v>1.3100000000000005</v>
      </c>
      <c r="I98" s="715">
        <v>1.3100000000000005</v>
      </c>
      <c r="J98" s="715">
        <v>1.3100000000000005</v>
      </c>
      <c r="K98" s="715">
        <v>1.3100000000000005</v>
      </c>
      <c r="L98" s="715">
        <v>1.3100000000000005</v>
      </c>
      <c r="M98" s="715">
        <v>1.3100000000000005</v>
      </c>
      <c r="N98" s="715">
        <v>1.3100000000000005</v>
      </c>
      <c r="O98" s="715">
        <v>1.3100000000000005</v>
      </c>
      <c r="P98" s="715">
        <v>1.3100000000000005</v>
      </c>
      <c r="Q98" s="776">
        <v>0</v>
      </c>
      <c r="R98" s="717" t="str">
        <f>IFERROR(VLOOKUP($C98,[23]Nod!$A$3:$E$992,4,FALSE)," ")</f>
        <v>LSA34</v>
      </c>
      <c r="S98" s="717">
        <f>IFERROR(VLOOKUP($C98,[23]Nod!$A$3:$E$992,5,FALSE)," ")</f>
        <v>5</v>
      </c>
      <c r="X98" s="679"/>
      <c r="Y98" s="679"/>
      <c r="AJ98" s="679" t="str">
        <f>IFERROR(VLOOKUP($V86,#REF!,4,FALSE)," ")</f>
        <v xml:space="preserve"> </v>
      </c>
      <c r="AK98" s="679" t="str">
        <f>IFERROR(VLOOKUP($V86,#REF!,5,FALSE)," ")</f>
        <v xml:space="preserve"> </v>
      </c>
    </row>
    <row r="99" spans="1:37" ht="15" customHeight="1">
      <c r="A99" s="712" t="s">
        <v>5</v>
      </c>
      <c r="C99" s="763">
        <v>6010</v>
      </c>
      <c r="D99" s="714">
        <v>7</v>
      </c>
      <c r="E99" s="777">
        <v>7</v>
      </c>
      <c r="F99" s="777">
        <v>7</v>
      </c>
      <c r="G99" s="777">
        <v>7</v>
      </c>
      <c r="H99" s="777">
        <v>7</v>
      </c>
      <c r="I99" s="777">
        <v>7</v>
      </c>
      <c r="J99" s="777">
        <v>7</v>
      </c>
      <c r="K99" s="777">
        <v>7</v>
      </c>
      <c r="L99" s="777">
        <v>7</v>
      </c>
      <c r="M99" s="777">
        <v>7</v>
      </c>
      <c r="N99" s="777">
        <v>7</v>
      </c>
      <c r="O99" s="777">
        <v>7</v>
      </c>
      <c r="P99" s="777">
        <v>7</v>
      </c>
      <c r="Q99" s="716">
        <v>0</v>
      </c>
      <c r="R99" s="717" t="str">
        <f>IFERROR(VLOOKUP($C99,[23]Nod!$A$3:$E$992,4,FALSE)," ")</f>
        <v>LSA34</v>
      </c>
      <c r="S99" s="717">
        <f>IFERROR(VLOOKUP($C99,[23]Nod!$A$3:$E$992,5,FALSE)," ")</f>
        <v>5</v>
      </c>
      <c r="X99" s="679"/>
      <c r="Y99" s="679"/>
      <c r="AJ99" s="679" t="str">
        <f>IFERROR(VLOOKUP($V88,#REF!,4,FALSE)," ")</f>
        <v xml:space="preserve"> </v>
      </c>
      <c r="AK99" s="679" t="str">
        <f>IFERROR(VLOOKUP($V88,#REF!,5,FALSE)," ")</f>
        <v xml:space="preserve"> </v>
      </c>
    </row>
    <row r="100" spans="1:37" ht="15" customHeight="1">
      <c r="A100" s="712" t="s">
        <v>429</v>
      </c>
      <c r="C100" s="763">
        <v>6010</v>
      </c>
      <c r="D100" s="714">
        <v>2.0099999999999998</v>
      </c>
      <c r="E100" s="715"/>
      <c r="F100" s="715"/>
      <c r="G100" s="715"/>
      <c r="H100" s="715"/>
      <c r="I100" s="715"/>
      <c r="J100" s="715"/>
      <c r="K100" s="715"/>
      <c r="L100" s="715"/>
      <c r="M100" s="715"/>
      <c r="N100" s="715"/>
      <c r="O100" s="715"/>
      <c r="P100" s="715"/>
      <c r="Q100" s="716">
        <v>13</v>
      </c>
      <c r="R100" s="717" t="str">
        <f>IFERROR(VLOOKUP($C100,[23]Nod!$A$3:$E$992,4,FALSE)," ")</f>
        <v>LSA34</v>
      </c>
      <c r="S100" s="717">
        <f>IFERROR(VLOOKUP($C100,[23]Nod!$A$3:$E$992,5,FALSE)," ")</f>
        <v>5</v>
      </c>
      <c r="X100" s="679"/>
      <c r="Y100" s="679"/>
      <c r="AJ100" s="679"/>
      <c r="AK100" s="679"/>
    </row>
    <row r="101" spans="1:37" ht="15" customHeight="1">
      <c r="A101" s="723" t="s">
        <v>430</v>
      </c>
      <c r="C101" s="763">
        <v>6010</v>
      </c>
      <c r="D101" s="714">
        <v>7.99</v>
      </c>
      <c r="E101" s="715"/>
      <c r="F101" s="715"/>
      <c r="G101" s="715"/>
      <c r="H101" s="715"/>
      <c r="I101" s="715"/>
      <c r="J101" s="715"/>
      <c r="K101" s="715"/>
      <c r="L101" s="715"/>
      <c r="M101" s="715"/>
      <c r="N101" s="715"/>
      <c r="O101" s="715"/>
      <c r="P101" s="715"/>
      <c r="Q101" s="716">
        <v>13</v>
      </c>
      <c r="R101" s="717" t="str">
        <f>IFERROR(VLOOKUP($C101,[23]Nod!$A$3:$E$992,4,FALSE)," ")</f>
        <v>LSA34</v>
      </c>
      <c r="S101" s="717">
        <f>IFERROR(VLOOKUP($C101,[23]Nod!$A$3:$E$992,5,FALSE)," ")</f>
        <v>5</v>
      </c>
      <c r="X101" s="679"/>
      <c r="Y101" s="679"/>
      <c r="AJ101" s="679" t="str">
        <f>IFERROR(VLOOKUP($V90,#REF!,4,FALSE)," ")</f>
        <v xml:space="preserve"> </v>
      </c>
      <c r="AK101" s="679" t="str">
        <f>IFERROR(VLOOKUP($V90,#REF!,5,FALSE)," ")</f>
        <v xml:space="preserve"> </v>
      </c>
    </row>
    <row r="102" spans="1:37" ht="15" customHeight="1">
      <c r="A102" s="712" t="s">
        <v>431</v>
      </c>
      <c r="C102" s="763">
        <v>6010</v>
      </c>
      <c r="D102" s="714">
        <v>10</v>
      </c>
      <c r="E102" s="715"/>
      <c r="F102" s="715"/>
      <c r="G102" s="715"/>
      <c r="H102" s="715"/>
      <c r="I102" s="715"/>
      <c r="J102" s="715"/>
      <c r="K102" s="715"/>
      <c r="L102" s="715"/>
      <c r="M102" s="715"/>
      <c r="N102" s="715"/>
      <c r="O102" s="715"/>
      <c r="P102" s="715"/>
      <c r="Q102" s="716">
        <v>13</v>
      </c>
      <c r="R102" s="717" t="str">
        <f>IFERROR(VLOOKUP($C102,[23]Nod!$A$3:$E$992,4,FALSE)," ")</f>
        <v>LSA34</v>
      </c>
      <c r="S102" s="717">
        <f>IFERROR(VLOOKUP($C102,[23]Nod!$A$3:$E$992,5,FALSE)," ")</f>
        <v>5</v>
      </c>
      <c r="X102" s="679"/>
      <c r="Y102" s="679"/>
      <c r="AJ102" s="679"/>
      <c r="AK102" s="679"/>
    </row>
    <row r="103" spans="1:37" ht="15" customHeight="1">
      <c r="A103" s="712" t="s">
        <v>432</v>
      </c>
      <c r="C103" s="763">
        <v>6010</v>
      </c>
      <c r="D103" s="714">
        <v>0.96</v>
      </c>
      <c r="E103" s="715"/>
      <c r="F103" s="715"/>
      <c r="G103" s="715"/>
      <c r="H103" s="715"/>
      <c r="I103" s="715"/>
      <c r="J103" s="715"/>
      <c r="K103" s="715"/>
      <c r="L103" s="715"/>
      <c r="M103" s="715"/>
      <c r="N103" s="715"/>
      <c r="O103" s="715"/>
      <c r="P103" s="715"/>
      <c r="Q103" s="716">
        <v>13</v>
      </c>
      <c r="R103" s="717" t="str">
        <f>IFERROR(VLOOKUP($C103,[23]Nod!$A$3:$E$992,4,FALSE)," ")</f>
        <v>LSA34</v>
      </c>
      <c r="S103" s="717">
        <f>IFERROR(VLOOKUP($C103,[23]Nod!$A$3:$E$992,5,FALSE)," ")</f>
        <v>5</v>
      </c>
      <c r="X103" s="679"/>
      <c r="Y103" s="679"/>
      <c r="AJ103" s="679"/>
      <c r="AK103" s="679"/>
    </row>
    <row r="104" spans="1:37" ht="15" customHeight="1">
      <c r="A104" s="712" t="s">
        <v>433</v>
      </c>
      <c r="C104" s="763">
        <v>6010</v>
      </c>
      <c r="D104" s="714">
        <v>0.96</v>
      </c>
      <c r="E104" s="715"/>
      <c r="F104" s="715"/>
      <c r="G104" s="715"/>
      <c r="H104" s="715"/>
      <c r="I104" s="715"/>
      <c r="J104" s="715"/>
      <c r="K104" s="715"/>
      <c r="L104" s="715"/>
      <c r="M104" s="715"/>
      <c r="N104" s="715"/>
      <c r="O104" s="715"/>
      <c r="P104" s="715"/>
      <c r="Q104" s="716">
        <v>13</v>
      </c>
      <c r="R104" s="717" t="str">
        <f>IFERROR(VLOOKUP($C104,[23]Nod!$A$3:$E$992,4,FALSE)," ")</f>
        <v>LSA34</v>
      </c>
      <c r="S104" s="717">
        <f>IFERROR(VLOOKUP($C104,[23]Nod!$A$3:$E$992,5,FALSE)," ")</f>
        <v>5</v>
      </c>
      <c r="X104" s="679"/>
      <c r="Y104" s="679"/>
      <c r="AJ104" s="679"/>
      <c r="AK104" s="679"/>
    </row>
    <row r="105" spans="1:37" ht="15" customHeight="1">
      <c r="A105" s="712" t="s">
        <v>434</v>
      </c>
      <c r="C105" s="763">
        <v>6010</v>
      </c>
      <c r="D105" s="714">
        <v>0.48</v>
      </c>
      <c r="E105" s="715"/>
      <c r="F105" s="715"/>
      <c r="G105" s="715"/>
      <c r="H105" s="715"/>
      <c r="I105" s="715"/>
      <c r="J105" s="715"/>
      <c r="K105" s="715"/>
      <c r="L105" s="715"/>
      <c r="M105" s="715"/>
      <c r="N105" s="715"/>
      <c r="O105" s="715"/>
      <c r="P105" s="715"/>
      <c r="Q105" s="716">
        <v>13</v>
      </c>
      <c r="R105" s="717" t="str">
        <f>IFERROR(VLOOKUP($C105,[23]Nod!$A$3:$E$992,4,FALSE)," ")</f>
        <v>LSA34</v>
      </c>
      <c r="S105" s="717">
        <f>IFERROR(VLOOKUP($C105,[23]Nod!$A$3:$E$992,5,FALSE)," ")</f>
        <v>5</v>
      </c>
      <c r="X105" s="679"/>
      <c r="Y105" s="679"/>
      <c r="AJ105" s="679"/>
      <c r="AK105" s="679"/>
    </row>
    <row r="106" spans="1:37" ht="15" customHeight="1">
      <c r="A106" s="712" t="s">
        <v>435</v>
      </c>
      <c r="C106" s="763">
        <v>6010</v>
      </c>
      <c r="D106" s="714">
        <v>8.99</v>
      </c>
      <c r="E106" s="715"/>
      <c r="F106" s="715"/>
      <c r="G106" s="715"/>
      <c r="H106" s="715"/>
      <c r="I106" s="715"/>
      <c r="J106" s="715"/>
      <c r="K106" s="715"/>
      <c r="L106" s="715"/>
      <c r="M106" s="715"/>
      <c r="N106" s="715"/>
      <c r="O106" s="715"/>
      <c r="P106" s="715"/>
      <c r="Q106" s="716">
        <v>13</v>
      </c>
      <c r="R106" s="717" t="str">
        <f>IFERROR(VLOOKUP($C106,[23]Nod!$A$3:$E$992,4,FALSE)," ")</f>
        <v>LSA34</v>
      </c>
      <c r="S106" s="717">
        <f>IFERROR(VLOOKUP($C106,[23]Nod!$A$3:$E$992,5,FALSE)," ")</f>
        <v>5</v>
      </c>
      <c r="X106" s="679"/>
      <c r="Y106" s="679"/>
      <c r="AJ106" s="679" t="str">
        <f>IFERROR(VLOOKUP($V92,#REF!,4,FALSE)," ")</f>
        <v xml:space="preserve"> </v>
      </c>
      <c r="AK106" s="679" t="str">
        <f>IFERROR(VLOOKUP($V92,#REF!,5,FALSE)," ")</f>
        <v xml:space="preserve"> </v>
      </c>
    </row>
    <row r="107" spans="1:37" ht="15" customHeight="1">
      <c r="A107" s="712" t="s">
        <v>436</v>
      </c>
      <c r="C107" s="763">
        <v>6010</v>
      </c>
      <c r="D107" s="714">
        <v>8.99</v>
      </c>
      <c r="E107" s="715"/>
      <c r="F107" s="715"/>
      <c r="G107" s="715"/>
      <c r="H107" s="715"/>
      <c r="I107" s="715"/>
      <c r="J107" s="715"/>
      <c r="K107" s="715"/>
      <c r="L107" s="715"/>
      <c r="M107" s="715"/>
      <c r="N107" s="715"/>
      <c r="O107" s="715"/>
      <c r="P107" s="715"/>
      <c r="Q107" s="716">
        <v>13</v>
      </c>
      <c r="R107" s="717" t="str">
        <f>IFERROR(VLOOKUP($C107,[23]Nod!$A$3:$E$992,4,FALSE)," ")</f>
        <v>LSA34</v>
      </c>
      <c r="S107" s="717">
        <f>IFERROR(VLOOKUP($C107,[23]Nod!$A$3:$E$992,5,FALSE)," ")</f>
        <v>5</v>
      </c>
      <c r="X107" s="679"/>
      <c r="Y107" s="679"/>
      <c r="AJ107" s="679" t="str">
        <f>IFERROR(VLOOKUP($V93,#REF!,4,FALSE)," ")</f>
        <v xml:space="preserve"> </v>
      </c>
      <c r="AK107" s="679" t="str">
        <f>IFERROR(VLOOKUP($V93,#REF!,5,FALSE)," ")</f>
        <v xml:space="preserve"> </v>
      </c>
    </row>
    <row r="108" spans="1:37" ht="15" customHeight="1">
      <c r="A108" s="712" t="s">
        <v>437</v>
      </c>
      <c r="C108" s="763">
        <v>6010</v>
      </c>
      <c r="D108" s="714">
        <v>9.52</v>
      </c>
      <c r="E108" s="715"/>
      <c r="F108" s="715"/>
      <c r="G108" s="715"/>
      <c r="H108" s="715"/>
      <c r="I108" s="715"/>
      <c r="J108" s="715"/>
      <c r="K108" s="715"/>
      <c r="L108" s="715"/>
      <c r="M108" s="715"/>
      <c r="N108" s="715"/>
      <c r="O108" s="715"/>
      <c r="P108" s="715"/>
      <c r="Q108" s="716">
        <v>13</v>
      </c>
      <c r="R108" s="717" t="str">
        <f>IFERROR(VLOOKUP($C108,[23]Nod!$A$3:$E$992,4,FALSE)," ")</f>
        <v>LSA34</v>
      </c>
      <c r="S108" s="717">
        <f>IFERROR(VLOOKUP($C108,[23]Nod!$A$3:$E$992,5,FALSE)," ")</f>
        <v>5</v>
      </c>
      <c r="X108" s="679"/>
      <c r="Y108" s="679"/>
      <c r="AJ108" s="679"/>
      <c r="AK108" s="679"/>
    </row>
    <row r="109" spans="1:37" ht="15" customHeight="1">
      <c r="A109" s="723" t="s">
        <v>438</v>
      </c>
      <c r="C109" s="763">
        <v>6010</v>
      </c>
      <c r="D109" s="714">
        <v>10.78</v>
      </c>
      <c r="E109" s="715"/>
      <c r="F109" s="715"/>
      <c r="G109" s="715"/>
      <c r="H109" s="715"/>
      <c r="I109" s="715"/>
      <c r="J109" s="715"/>
      <c r="K109" s="715"/>
      <c r="L109" s="715"/>
      <c r="M109" s="715"/>
      <c r="N109" s="715"/>
      <c r="O109" s="715"/>
      <c r="P109" s="715"/>
      <c r="Q109" s="716">
        <v>13</v>
      </c>
      <c r="R109" s="717" t="str">
        <f>IFERROR(VLOOKUP($C109,[23]Nod!$A$3:$E$992,4,FALSE)," ")</f>
        <v>LSA34</v>
      </c>
      <c r="S109" s="717">
        <f>IFERROR(VLOOKUP($C109,[23]Nod!$A$3:$E$992,5,FALSE)," ")</f>
        <v>5</v>
      </c>
      <c r="X109" s="679"/>
      <c r="Y109" s="679"/>
      <c r="AJ109" s="679"/>
      <c r="AK109" s="679"/>
    </row>
    <row r="110" spans="1:37" ht="15" customHeight="1">
      <c r="A110" s="723" t="s">
        <v>439</v>
      </c>
      <c r="C110" s="763">
        <v>6010</v>
      </c>
      <c r="D110" s="714">
        <v>8.5</v>
      </c>
      <c r="E110" s="715"/>
      <c r="F110" s="715"/>
      <c r="G110" s="715"/>
      <c r="H110" s="715"/>
      <c r="I110" s="715"/>
      <c r="J110" s="715"/>
      <c r="K110" s="715"/>
      <c r="L110" s="715"/>
      <c r="M110" s="715"/>
      <c r="N110" s="715"/>
      <c r="O110" s="715"/>
      <c r="P110" s="715"/>
      <c r="Q110" s="716">
        <v>13</v>
      </c>
      <c r="R110" s="717" t="str">
        <f>IFERROR(VLOOKUP($C110,[23]Nod!$A$3:$E$992,4,FALSE)," ")</f>
        <v>LSA34</v>
      </c>
      <c r="S110" s="717">
        <f>IFERROR(VLOOKUP($C110,[23]Nod!$A$3:$E$992,5,FALSE)," ")</f>
        <v>5</v>
      </c>
      <c r="X110" s="679"/>
      <c r="Y110" s="679"/>
      <c r="AJ110" s="679" t="str">
        <f>IFERROR(VLOOKUP($V94,#REF!,4,FALSE)," ")</f>
        <v xml:space="preserve"> </v>
      </c>
      <c r="AK110" s="679" t="str">
        <f>IFERROR(VLOOKUP($V94,#REF!,5,FALSE)," ")</f>
        <v xml:space="preserve"> </v>
      </c>
    </row>
    <row r="111" spans="1:37" ht="15" customHeight="1">
      <c r="A111" s="712" t="s">
        <v>440</v>
      </c>
      <c r="C111" s="763">
        <v>6010</v>
      </c>
      <c r="D111" s="714">
        <v>10</v>
      </c>
      <c r="E111" s="715"/>
      <c r="F111" s="715"/>
      <c r="G111" s="715"/>
      <c r="H111" s="715"/>
      <c r="I111" s="715"/>
      <c r="J111" s="715"/>
      <c r="K111" s="715"/>
      <c r="L111" s="715"/>
      <c r="M111" s="715"/>
      <c r="N111" s="715"/>
      <c r="O111" s="715"/>
      <c r="P111" s="715"/>
      <c r="Q111" s="716">
        <v>13</v>
      </c>
      <c r="R111" s="717" t="str">
        <f>IFERROR(VLOOKUP($C111,[23]Nod!$A$3:$E$992,4,FALSE)," ")</f>
        <v>LSA34</v>
      </c>
      <c r="S111" s="717">
        <f>IFERROR(VLOOKUP($C111,[23]Nod!$A$3:$E$992,5,FALSE)," ")</f>
        <v>5</v>
      </c>
      <c r="X111" s="679"/>
      <c r="Y111" s="679"/>
      <c r="AJ111" s="679" t="str">
        <f>IFERROR(VLOOKUP($V95,#REF!,4,FALSE)," ")</f>
        <v xml:space="preserve"> </v>
      </c>
      <c r="AK111" s="679" t="str">
        <f>IFERROR(VLOOKUP($V95,#REF!,5,FALSE)," ")</f>
        <v xml:space="preserve"> </v>
      </c>
    </row>
    <row r="112" spans="1:37" ht="15" customHeight="1">
      <c r="A112" s="712" t="s">
        <v>441</v>
      </c>
      <c r="C112" s="763">
        <v>6010</v>
      </c>
      <c r="D112" s="714">
        <v>10</v>
      </c>
      <c r="E112" s="715"/>
      <c r="F112" s="715"/>
      <c r="G112" s="715"/>
      <c r="H112" s="715"/>
      <c r="I112" s="715"/>
      <c r="J112" s="715"/>
      <c r="K112" s="715"/>
      <c r="L112" s="715"/>
      <c r="M112" s="715"/>
      <c r="N112" s="715"/>
      <c r="O112" s="715"/>
      <c r="P112" s="715"/>
      <c r="Q112" s="716">
        <v>13</v>
      </c>
      <c r="R112" s="717" t="str">
        <f>IFERROR(VLOOKUP($C112,[23]Nod!$A$3:$E$992,4,FALSE)," ")</f>
        <v>LSA34</v>
      </c>
      <c r="S112" s="717">
        <f>IFERROR(VLOOKUP($C112,[23]Nod!$A$3:$E$992,5,FALSE)," ")</f>
        <v>5</v>
      </c>
      <c r="X112" s="679"/>
      <c r="Y112" s="679"/>
      <c r="AJ112" s="679" t="str">
        <f>IFERROR(VLOOKUP($V97,#REF!,4,FALSE)," ")</f>
        <v xml:space="preserve"> </v>
      </c>
      <c r="AK112" s="679" t="str">
        <f>IFERROR(VLOOKUP($V97,#REF!,5,FALSE)," ")</f>
        <v xml:space="preserve"> </v>
      </c>
    </row>
    <row r="113" spans="1:36" ht="15" customHeight="1">
      <c r="A113" s="712" t="s">
        <v>179</v>
      </c>
      <c r="C113" s="713">
        <v>6460</v>
      </c>
      <c r="D113" s="714">
        <v>55</v>
      </c>
      <c r="E113" s="715"/>
      <c r="F113" s="715"/>
      <c r="G113" s="715"/>
      <c r="H113" s="715"/>
      <c r="I113" s="715"/>
      <c r="J113" s="715"/>
      <c r="K113" s="715"/>
      <c r="L113" s="715"/>
      <c r="M113" s="715"/>
      <c r="N113" s="715"/>
      <c r="O113" s="715"/>
      <c r="P113" s="715"/>
      <c r="Q113" s="716">
        <v>13</v>
      </c>
      <c r="R113" s="717" t="str">
        <f>IFERROR(VLOOKUP($C113,[23]Nod!$A$3:$E$992,4,FALSE)," ")</f>
        <v>ECO230</v>
      </c>
      <c r="S113" s="717">
        <f>IFERROR(VLOOKUP($C113,[23]Nod!$A$3:$E$992,5,FALSE)," ")</f>
        <v>5</v>
      </c>
      <c r="X113" s="679"/>
      <c r="Y113" s="679"/>
      <c r="AJ113" s="679" t="str">
        <f>IFERROR(VLOOKUP($V98,#REF!,4,FALSE)," ")</f>
        <v xml:space="preserve"> </v>
      </c>
    </row>
    <row r="114" spans="1:36" ht="15" customHeight="1">
      <c r="A114" s="712" t="s">
        <v>178</v>
      </c>
      <c r="C114" s="713">
        <v>6460</v>
      </c>
      <c r="D114" s="714">
        <v>17.5</v>
      </c>
      <c r="E114" s="715"/>
      <c r="F114" s="715"/>
      <c r="G114" s="715"/>
      <c r="H114" s="715"/>
      <c r="I114" s="715"/>
      <c r="J114" s="715"/>
      <c r="K114" s="715"/>
      <c r="L114" s="715"/>
      <c r="M114" s="715"/>
      <c r="N114" s="715"/>
      <c r="O114" s="715"/>
      <c r="P114" s="715"/>
      <c r="Q114" s="716">
        <v>13</v>
      </c>
      <c r="R114" s="717" t="str">
        <f>IFERROR(VLOOKUP($C114,[23]Nod!$A$3:$E$992,4,FALSE)," ")</f>
        <v>ECO230</v>
      </c>
      <c r="S114" s="717">
        <f>IFERROR(VLOOKUP($C114,[23]Nod!$A$3:$E$992,5,FALSE)," ")</f>
        <v>5</v>
      </c>
      <c r="X114" s="679"/>
      <c r="Y114" s="679"/>
      <c r="AJ114" s="679" t="str">
        <f>IFERROR(VLOOKUP($V102,#REF!,4,FALSE)," ")</f>
        <v xml:space="preserve"> </v>
      </c>
    </row>
    <row r="115" spans="1:36" ht="15" customHeight="1">
      <c r="A115" s="712" t="s">
        <v>442</v>
      </c>
      <c r="C115" s="713">
        <v>6460</v>
      </c>
      <c r="D115" s="714">
        <v>52.5</v>
      </c>
      <c r="E115" s="715"/>
      <c r="F115" s="715"/>
      <c r="G115" s="715"/>
      <c r="H115" s="715"/>
      <c r="I115" s="715"/>
      <c r="J115" s="715"/>
      <c r="K115" s="715"/>
      <c r="L115" s="715"/>
      <c r="M115" s="715"/>
      <c r="N115" s="715"/>
      <c r="O115" s="715"/>
      <c r="P115" s="715"/>
      <c r="Q115" s="716">
        <v>13</v>
      </c>
      <c r="R115" s="717" t="str">
        <f>IFERROR(VLOOKUP($C115,[23]Nod!$A$3:$E$992,4,FALSE)," ")</f>
        <v>ECO230</v>
      </c>
      <c r="S115" s="717">
        <f>IFERROR(VLOOKUP($C115,[23]Nod!$A$3:$E$992,5,FALSE)," ")</f>
        <v>5</v>
      </c>
      <c r="X115" s="679"/>
      <c r="Y115" s="679"/>
      <c r="AJ115" s="679" t="str">
        <f>IFERROR(VLOOKUP($V103,#REF!,4,FALSE)," ")</f>
        <v xml:space="preserve"> </v>
      </c>
    </row>
    <row r="116" spans="1:36" ht="15" customHeight="1">
      <c r="A116" s="712" t="s">
        <v>443</v>
      </c>
      <c r="C116" s="713">
        <v>6460</v>
      </c>
      <c r="D116" s="714">
        <v>62.5</v>
      </c>
      <c r="E116" s="715"/>
      <c r="F116" s="715"/>
      <c r="G116" s="715"/>
      <c r="H116" s="715"/>
      <c r="I116" s="715"/>
      <c r="J116" s="715"/>
      <c r="K116" s="715"/>
      <c r="L116" s="715"/>
      <c r="M116" s="715"/>
      <c r="N116" s="715"/>
      <c r="O116" s="715"/>
      <c r="P116" s="715"/>
      <c r="Q116" s="716">
        <v>13</v>
      </c>
      <c r="R116" s="717" t="str">
        <f>IFERROR(VLOOKUP($C116,[23]Nod!$A$3:$E$992,4,FALSE)," ")</f>
        <v>ECO230</v>
      </c>
      <c r="S116" s="717">
        <f>IFERROR(VLOOKUP($C116,[23]Nod!$A$3:$E$992,5,FALSE)," ")</f>
        <v>5</v>
      </c>
      <c r="X116" s="679"/>
      <c r="Y116" s="679"/>
      <c r="AJ116" s="679" t="str">
        <f>IFERROR(VLOOKUP($V106,#REF!,4,FALSE)," ")</f>
        <v xml:space="preserve"> </v>
      </c>
    </row>
    <row r="117" spans="1:36" ht="15" customHeight="1">
      <c r="A117" s="712" t="s">
        <v>180</v>
      </c>
      <c r="C117" s="713">
        <v>6460</v>
      </c>
      <c r="D117" s="714">
        <v>32.5</v>
      </c>
      <c r="E117" s="715"/>
      <c r="F117" s="715"/>
      <c r="G117" s="715"/>
      <c r="H117" s="715"/>
      <c r="I117" s="715"/>
      <c r="J117" s="715"/>
      <c r="K117" s="715"/>
      <c r="L117" s="715"/>
      <c r="M117" s="715"/>
      <c r="N117" s="715"/>
      <c r="O117" s="715"/>
      <c r="P117" s="715"/>
      <c r="Q117" s="716">
        <v>13</v>
      </c>
      <c r="R117" s="717" t="str">
        <f>IFERROR(VLOOKUP($C117,[23]Nod!$A$3:$E$992,4,FALSE)," ")</f>
        <v>ECO230</v>
      </c>
      <c r="S117" s="717">
        <f>IFERROR(VLOOKUP($C117,[23]Nod!$A$3:$E$992,5,FALSE)," ")</f>
        <v>5</v>
      </c>
      <c r="X117" s="679"/>
      <c r="Y117" s="679"/>
      <c r="AJ117" s="679" t="str">
        <f>IFERROR(VLOOKUP($V107,#REF!,4,FALSE)," ")</f>
        <v xml:space="preserve"> </v>
      </c>
    </row>
    <row r="118" spans="1:36" ht="15" customHeight="1">
      <c r="A118" s="712" t="s">
        <v>444</v>
      </c>
      <c r="B118" s="778"/>
      <c r="C118" s="779">
        <v>6460</v>
      </c>
      <c r="D118" s="714">
        <v>50</v>
      </c>
      <c r="E118" s="745"/>
      <c r="F118" s="745"/>
      <c r="G118" s="745"/>
      <c r="H118" s="745"/>
      <c r="I118" s="745"/>
      <c r="J118" s="745"/>
      <c r="K118" s="745"/>
      <c r="L118" s="745"/>
      <c r="M118" s="745"/>
      <c r="N118" s="745"/>
      <c r="O118" s="745"/>
      <c r="P118" s="745"/>
      <c r="Q118" s="746">
        <v>0</v>
      </c>
      <c r="R118" s="717" t="str">
        <f>IFERROR(VLOOKUP($C118,[23]Nod!$A$3:$E$992,4,FALSE)," ")</f>
        <v>ECO230</v>
      </c>
      <c r="S118" s="717">
        <f>IFERROR(VLOOKUP($C118,[23]Nod!$A$3:$E$992,5,FALSE)," ")</f>
        <v>5</v>
      </c>
      <c r="X118" s="679"/>
      <c r="Y118" s="679"/>
      <c r="AJ118" s="679" t="str">
        <f>IFERROR(VLOOKUP($V109,#REF!,4,FALSE)," ")</f>
        <v xml:space="preserve"> </v>
      </c>
    </row>
    <row r="119" spans="1:36" ht="15" customHeight="1">
      <c r="A119" s="723" t="s">
        <v>445</v>
      </c>
      <c r="C119" s="763">
        <v>6010</v>
      </c>
      <c r="D119" s="714">
        <v>16</v>
      </c>
      <c r="E119" s="715"/>
      <c r="F119" s="715"/>
      <c r="G119" s="715"/>
      <c r="H119" s="715"/>
      <c r="I119" s="715"/>
      <c r="J119" s="715"/>
      <c r="K119" s="715"/>
      <c r="L119" s="715"/>
      <c r="M119" s="715"/>
      <c r="N119" s="715"/>
      <c r="O119" s="715"/>
      <c r="P119" s="715"/>
      <c r="Q119" s="716">
        <v>13</v>
      </c>
      <c r="R119" s="717" t="str">
        <f>IFERROR(VLOOKUP($C119,[23]Nod!$A$3:$E$992,4,FALSE)," ")</f>
        <v>LSA34</v>
      </c>
      <c r="S119" s="717">
        <f>IFERROR(VLOOKUP($C119,[23]Nod!$A$3:$E$992,5,FALSE)," ")</f>
        <v>5</v>
      </c>
      <c r="W119" s="680"/>
      <c r="X119" s="679"/>
      <c r="Y119" s="679"/>
      <c r="AJ119" s="679" t="str">
        <f>IFERROR(VLOOKUP(#REF!,#REF!,4,FALSE)," ")</f>
        <v xml:space="preserve"> </v>
      </c>
    </row>
    <row r="120" spans="1:36" ht="15" customHeight="1">
      <c r="A120" s="723" t="s">
        <v>446</v>
      </c>
      <c r="C120" s="763">
        <v>6010</v>
      </c>
      <c r="D120" s="714">
        <v>4.79</v>
      </c>
      <c r="E120" s="715"/>
      <c r="F120" s="715"/>
      <c r="G120" s="715"/>
      <c r="H120" s="715"/>
      <c r="I120" s="715"/>
      <c r="J120" s="715"/>
      <c r="K120" s="715"/>
      <c r="L120" s="715"/>
      <c r="M120" s="715"/>
      <c r="N120" s="715"/>
      <c r="O120" s="715"/>
      <c r="P120" s="715"/>
      <c r="Q120" s="716">
        <v>13</v>
      </c>
      <c r="R120" s="717" t="str">
        <f>IFERROR(VLOOKUP($C120,[23]Nod!$A$3:$E$992,4,FALSE)," ")</f>
        <v>LSA34</v>
      </c>
      <c r="S120" s="717">
        <f>IFERROR(VLOOKUP($C120,[23]Nod!$A$3:$E$992,5,FALSE)," ")</f>
        <v>5</v>
      </c>
      <c r="W120" s="680"/>
      <c r="X120" s="679"/>
      <c r="Y120" s="679"/>
      <c r="AJ120" s="679" t="str">
        <f>IFERROR(VLOOKUP($V112,#REF!,4,FALSE)," ")</f>
        <v xml:space="preserve"> </v>
      </c>
    </row>
    <row r="121" spans="1:36" ht="15" customHeight="1">
      <c r="A121" s="723" t="s">
        <v>389</v>
      </c>
      <c r="C121" s="763">
        <v>6008</v>
      </c>
      <c r="D121" s="714">
        <f>AVERAGE(E121:P121)</f>
        <v>136.978621</v>
      </c>
      <c r="E121" s="780">
        <v>127.22</v>
      </c>
      <c r="F121" s="780">
        <v>157.44</v>
      </c>
      <c r="G121" s="780">
        <v>120.77</v>
      </c>
      <c r="H121" s="780">
        <v>150.88999999999999</v>
      </c>
      <c r="I121" s="780">
        <v>159.47</v>
      </c>
      <c r="J121" s="780">
        <v>1.92</v>
      </c>
      <c r="K121" s="780">
        <v>77.89</v>
      </c>
      <c r="L121" s="780">
        <v>158.81</v>
      </c>
      <c r="M121" s="780">
        <v>193.77</v>
      </c>
      <c r="N121" s="780">
        <v>115.893252</v>
      </c>
      <c r="O121" s="780">
        <v>176.35563200000001</v>
      </c>
      <c r="P121" s="780">
        <v>203.31456800000001</v>
      </c>
      <c r="Q121" s="716">
        <v>0</v>
      </c>
      <c r="R121" s="717" t="str">
        <f>IFERROR(VLOOKUP($C121,[23]Nod!$A$3:$E$992,4,FALSE)," ")</f>
        <v>LSA230</v>
      </c>
      <c r="S121" s="717">
        <f>IFERROR(VLOOKUP($C121,[23]Nod!$A$3:$E$992,5,FALSE)," ")</f>
        <v>5</v>
      </c>
      <c r="W121" s="680"/>
      <c r="X121" s="679"/>
      <c r="Y121" s="679"/>
      <c r="AJ121" s="679" t="str">
        <f>IFERROR(VLOOKUP(#REF!,#REF!,4,FALSE)," ")</f>
        <v xml:space="preserve"> </v>
      </c>
    </row>
    <row r="122" spans="1:36" ht="15" customHeight="1">
      <c r="A122" s="723" t="s">
        <v>447</v>
      </c>
      <c r="C122" s="763">
        <v>6010</v>
      </c>
      <c r="D122" s="714">
        <v>9.99</v>
      </c>
      <c r="E122" s="715"/>
      <c r="F122" s="715"/>
      <c r="G122" s="715"/>
      <c r="H122" s="781"/>
      <c r="I122" s="781"/>
      <c r="J122" s="715"/>
      <c r="K122" s="715"/>
      <c r="L122" s="715"/>
      <c r="M122" s="715"/>
      <c r="N122" s="715"/>
      <c r="O122" s="715"/>
      <c r="P122" s="715"/>
      <c r="Q122" s="716">
        <v>0</v>
      </c>
      <c r="R122" s="717" t="str">
        <f>IFERROR(VLOOKUP($C122,[23]Nod!$A$3:$E$992,4,FALSE)," ")</f>
        <v>LSA34</v>
      </c>
      <c r="S122" s="717">
        <f>IFERROR(VLOOKUP($C122,[23]Nod!$A$3:$E$992,5,FALSE)," ")</f>
        <v>5</v>
      </c>
      <c r="W122" s="680"/>
      <c r="X122" s="679"/>
      <c r="Y122" s="679"/>
      <c r="AJ122" s="679" t="str">
        <f>IFERROR(VLOOKUP($V117,#REF!,4,FALSE)," ")</f>
        <v xml:space="preserve"> </v>
      </c>
    </row>
    <row r="123" spans="1:36" ht="15" customHeight="1">
      <c r="A123" s="723" t="s">
        <v>448</v>
      </c>
      <c r="C123" s="782">
        <v>6010</v>
      </c>
      <c r="D123" s="714">
        <v>5</v>
      </c>
      <c r="E123" s="715"/>
      <c r="F123" s="715"/>
      <c r="G123" s="715"/>
      <c r="H123" s="715"/>
      <c r="I123" s="715"/>
      <c r="J123" s="715"/>
      <c r="K123" s="715"/>
      <c r="L123" s="715"/>
      <c r="M123" s="715"/>
      <c r="N123" s="715"/>
      <c r="O123" s="715"/>
      <c r="P123" s="715"/>
      <c r="Q123" s="716">
        <v>0</v>
      </c>
      <c r="R123" s="717" t="str">
        <f>IFERROR(VLOOKUP($C123,[23]Nod!$A$3:$E$992,4,FALSE)," ")</f>
        <v>LSA34</v>
      </c>
      <c r="S123" s="717">
        <f>IFERROR(VLOOKUP($C123,[23]Nod!$A$3:$E$992,5,FALSE)," ")</f>
        <v>5</v>
      </c>
      <c r="W123" s="680"/>
      <c r="X123" s="679"/>
      <c r="Y123" s="679"/>
      <c r="AJ123" s="679" t="str">
        <f>IFERROR(VLOOKUP(#REF!,#REF!,4,FALSE)," ")</f>
        <v xml:space="preserve"> </v>
      </c>
    </row>
    <row r="124" spans="1:36" ht="15" customHeight="1">
      <c r="A124" s="723" t="s">
        <v>449</v>
      </c>
      <c r="C124" s="782">
        <v>6010</v>
      </c>
      <c r="D124" s="714">
        <v>120</v>
      </c>
      <c r="E124" s="715"/>
      <c r="F124" s="715"/>
      <c r="G124" s="715"/>
      <c r="H124" s="715"/>
      <c r="I124" s="715"/>
      <c r="J124" s="715"/>
      <c r="K124" s="715"/>
      <c r="L124" s="715"/>
      <c r="M124" s="715"/>
      <c r="N124" s="715"/>
      <c r="O124" s="715"/>
      <c r="P124" s="715"/>
      <c r="Q124" s="716">
        <v>0</v>
      </c>
      <c r="R124" s="717" t="str">
        <f>IFERROR(VLOOKUP($C124,[23]Nod!$A$3:$E$992,4,FALSE)," ")</f>
        <v>LSA34</v>
      </c>
      <c r="S124" s="717">
        <f>IFERROR(VLOOKUP($C124,[23]Nod!$A$3:$E$992,5,FALSE)," ")</f>
        <v>5</v>
      </c>
      <c r="W124" s="680"/>
      <c r="X124" s="679"/>
      <c r="Y124" s="679"/>
      <c r="AJ124" s="679"/>
    </row>
    <row r="125" spans="1:36" ht="15" customHeight="1">
      <c r="A125" s="723" t="s">
        <v>450</v>
      </c>
      <c r="C125" s="782">
        <v>6010</v>
      </c>
      <c r="D125" s="769">
        <v>10</v>
      </c>
      <c r="E125" s="715"/>
      <c r="F125" s="715"/>
      <c r="G125" s="715"/>
      <c r="H125" s="715"/>
      <c r="I125" s="715"/>
      <c r="J125" s="715"/>
      <c r="K125" s="715"/>
      <c r="L125" s="715"/>
      <c r="M125" s="715"/>
      <c r="N125" s="715"/>
      <c r="O125" s="715"/>
      <c r="P125" s="715"/>
      <c r="Q125" s="716">
        <v>0</v>
      </c>
      <c r="R125" s="717" t="str">
        <f>IFERROR(VLOOKUP($C125,[23]Nod!$A$3:$E$992,4,FALSE)," ")</f>
        <v>LSA34</v>
      </c>
      <c r="S125" s="717">
        <f>IFERROR(VLOOKUP($C125,[23]Nod!$A$3:$E$992,5,FALSE)," ")</f>
        <v>5</v>
      </c>
      <c r="W125" s="680"/>
      <c r="X125" s="679"/>
      <c r="Y125" s="679"/>
      <c r="AJ125" s="679" t="str">
        <f>IFERROR(VLOOKUP($V118,#REF!,4,FALSE)," ")</f>
        <v xml:space="preserve"> </v>
      </c>
    </row>
    <row r="126" spans="1:36" ht="15" customHeight="1">
      <c r="A126" s="723" t="s">
        <v>451</v>
      </c>
      <c r="C126" s="782">
        <v>6010</v>
      </c>
      <c r="D126" s="769">
        <v>10</v>
      </c>
      <c r="E126" s="715"/>
      <c r="F126" s="715"/>
      <c r="G126" s="715"/>
      <c r="H126" s="715"/>
      <c r="I126" s="715"/>
      <c r="J126" s="715"/>
      <c r="K126" s="715"/>
      <c r="L126" s="715"/>
      <c r="M126" s="715"/>
      <c r="N126" s="715"/>
      <c r="O126" s="715"/>
      <c r="P126" s="715"/>
      <c r="Q126" s="716">
        <v>0</v>
      </c>
      <c r="R126" s="717" t="str">
        <f>IFERROR(VLOOKUP($C126,[23]Nod!$A$3:$E$992,4,FALSE)," ")</f>
        <v>LSA34</v>
      </c>
      <c r="S126" s="717">
        <f>IFERROR(VLOOKUP($C126,[23]Nod!$A$3:$E$992,5,FALSE)," ")</f>
        <v>5</v>
      </c>
      <c r="W126" s="680"/>
      <c r="X126" s="679"/>
      <c r="Y126" s="679"/>
      <c r="AJ126" s="679" t="str">
        <f>IFERROR(VLOOKUP(#REF!,#REF!,4,FALSE)," ")</f>
        <v xml:space="preserve"> </v>
      </c>
    </row>
    <row r="127" spans="1:36" ht="15" customHeight="1">
      <c r="A127" s="723" t="s">
        <v>452</v>
      </c>
      <c r="B127" s="515"/>
      <c r="C127" s="782">
        <v>6010</v>
      </c>
      <c r="D127" s="769">
        <v>10</v>
      </c>
      <c r="E127" s="745"/>
      <c r="F127" s="745"/>
      <c r="G127" s="745"/>
      <c r="H127" s="745"/>
      <c r="I127" s="745"/>
      <c r="J127" s="745"/>
      <c r="K127" s="745"/>
      <c r="L127" s="745"/>
      <c r="M127" s="745"/>
      <c r="N127" s="745"/>
      <c r="O127" s="745"/>
      <c r="P127" s="745"/>
      <c r="Q127" s="746">
        <v>0</v>
      </c>
      <c r="R127" s="717" t="str">
        <f>IFERROR(VLOOKUP($C127,[23]Nod!$A$3:$E$992,4,FALSE)," ")</f>
        <v>LSA34</v>
      </c>
      <c r="S127" s="717">
        <f>IFERROR(VLOOKUP($C127,[23]Nod!$A$3:$E$992,5,FALSE)," ")</f>
        <v>5</v>
      </c>
      <c r="W127" s="680"/>
      <c r="X127" s="679"/>
      <c r="Y127" s="679"/>
      <c r="AJ127" s="679" t="str">
        <f>IFERROR(VLOOKUP(#REF!,#REF!,4,FALSE)," ")</f>
        <v xml:space="preserve"> </v>
      </c>
    </row>
    <row r="128" spans="1:36" ht="15" customHeight="1">
      <c r="A128" s="723" t="s">
        <v>453</v>
      </c>
      <c r="B128" s="515"/>
      <c r="C128" s="782">
        <v>6010</v>
      </c>
      <c r="D128" s="783">
        <v>3.24</v>
      </c>
      <c r="E128" s="745"/>
      <c r="F128" s="745"/>
      <c r="G128" s="745"/>
      <c r="H128" s="745"/>
      <c r="I128" s="745"/>
      <c r="J128" s="745"/>
      <c r="K128" s="745"/>
      <c r="L128" s="745"/>
      <c r="M128" s="745"/>
      <c r="N128" s="745"/>
      <c r="O128" s="745"/>
      <c r="P128" s="745"/>
      <c r="Q128" s="746">
        <v>13</v>
      </c>
      <c r="R128" s="717" t="str">
        <f>IFERROR(VLOOKUP($C128,[23]Nod!$A$3:$E$992,4,FALSE)," ")</f>
        <v>LSA34</v>
      </c>
      <c r="S128" s="717">
        <f>IFERROR(VLOOKUP($C128,[23]Nod!$A$3:$E$992,5,FALSE)," ")</f>
        <v>5</v>
      </c>
      <c r="W128" s="680"/>
      <c r="X128" s="679"/>
      <c r="Y128" s="679"/>
    </row>
    <row r="129" spans="1:25" ht="15" customHeight="1">
      <c r="A129" s="723" t="s">
        <v>454</v>
      </c>
      <c r="B129" s="515"/>
      <c r="C129" s="782">
        <v>6010</v>
      </c>
      <c r="D129" s="783">
        <v>2.4</v>
      </c>
      <c r="E129" s="745"/>
      <c r="F129" s="745"/>
      <c r="G129" s="745"/>
      <c r="H129" s="745"/>
      <c r="I129" s="745"/>
      <c r="J129" s="745"/>
      <c r="K129" s="745"/>
      <c r="L129" s="745"/>
      <c r="M129" s="745"/>
      <c r="N129" s="745"/>
      <c r="O129" s="745"/>
      <c r="P129" s="745"/>
      <c r="Q129" s="784">
        <v>13</v>
      </c>
      <c r="R129" s="717" t="str">
        <f>IFERROR(VLOOKUP($C129,[23]Nod!$A$3:$E$992,4,FALSE)," ")</f>
        <v>LSA34</v>
      </c>
      <c r="S129" s="717">
        <f>IFERROR(VLOOKUP($C129,[23]Nod!$A$3:$E$992,5,FALSE)," ")</f>
        <v>5</v>
      </c>
      <c r="W129" s="680"/>
      <c r="X129" s="679"/>
      <c r="Y129" s="679"/>
    </row>
    <row r="130" spans="1:25" ht="15" customHeight="1">
      <c r="A130" s="723" t="s">
        <v>455</v>
      </c>
      <c r="B130" s="515"/>
      <c r="C130" s="782">
        <v>6010</v>
      </c>
      <c r="D130" s="769">
        <v>110</v>
      </c>
      <c r="E130" s="745"/>
      <c r="F130" s="745"/>
      <c r="G130" s="745"/>
      <c r="H130" s="745"/>
      <c r="I130" s="745"/>
      <c r="J130" s="745"/>
      <c r="K130" s="745"/>
      <c r="L130" s="745"/>
      <c r="M130" s="745"/>
      <c r="N130" s="745"/>
      <c r="O130" s="745"/>
      <c r="P130" s="745"/>
      <c r="Q130" s="784">
        <v>0</v>
      </c>
      <c r="R130" s="717" t="str">
        <f>IFERROR(VLOOKUP($C130,[23]Nod!$A$3:$E$992,4,FALSE)," ")</f>
        <v>LSA34</v>
      </c>
      <c r="S130" s="717">
        <f>IFERROR(VLOOKUP($C130,[23]Nod!$A$3:$E$992,5,FALSE)," ")</f>
        <v>5</v>
      </c>
      <c r="W130" s="680"/>
      <c r="X130" s="679"/>
      <c r="Y130" s="679"/>
    </row>
    <row r="131" spans="1:25" ht="15" customHeight="1">
      <c r="A131" s="712" t="s">
        <v>456</v>
      </c>
      <c r="B131" s="515"/>
      <c r="C131" s="782">
        <v>6010</v>
      </c>
      <c r="D131" s="769"/>
      <c r="E131" s="745"/>
      <c r="F131" s="745"/>
      <c r="G131" s="745"/>
      <c r="H131" s="745"/>
      <c r="I131" s="745"/>
      <c r="J131" s="745"/>
      <c r="K131" s="745"/>
      <c r="L131" s="745"/>
      <c r="M131" s="745"/>
      <c r="N131" s="745"/>
      <c r="O131" s="745"/>
      <c r="P131" s="745"/>
      <c r="Q131" s="784"/>
      <c r="R131" s="717" t="str">
        <f>IFERROR(VLOOKUP($C131,[23]Nod!$A$3:$E$992,4,FALSE)," ")</f>
        <v>LSA34</v>
      </c>
      <c r="S131" s="717">
        <f>IFERROR(VLOOKUP($C131,[23]Nod!$A$3:$E$992,5,FALSE)," ")</f>
        <v>5</v>
      </c>
    </row>
    <row r="132" spans="1:25" ht="15" customHeight="1">
      <c r="A132" s="712" t="s">
        <v>457</v>
      </c>
      <c r="B132" s="515"/>
      <c r="C132" s="782">
        <v>6010</v>
      </c>
      <c r="D132" s="769"/>
      <c r="E132" s="745"/>
      <c r="F132" s="745"/>
      <c r="G132" s="745"/>
      <c r="H132" s="745"/>
      <c r="I132" s="745"/>
      <c r="J132" s="745"/>
      <c r="K132" s="745"/>
      <c r="L132" s="745"/>
      <c r="M132" s="745"/>
      <c r="N132" s="745"/>
      <c r="O132" s="745"/>
      <c r="P132" s="745"/>
      <c r="Q132" s="784"/>
      <c r="R132" s="717" t="str">
        <f>IFERROR(VLOOKUP($C132,[23]Nod!$A$3:$E$992,4,FALSE)," ")</f>
        <v>LSA34</v>
      </c>
      <c r="S132" s="717">
        <f>IFERROR(VLOOKUP($C132,[23]Nod!$A$3:$E$992,5,FALSE)," ")</f>
        <v>5</v>
      </c>
    </row>
    <row r="133" spans="1:25" ht="15" customHeight="1">
      <c r="A133" s="712" t="s">
        <v>458</v>
      </c>
      <c r="B133" s="515"/>
      <c r="C133" s="782">
        <v>6010</v>
      </c>
      <c r="D133" s="769"/>
      <c r="E133" s="745"/>
      <c r="F133" s="745"/>
      <c r="G133" s="745"/>
      <c r="H133" s="745"/>
      <c r="I133" s="745"/>
      <c r="J133" s="745"/>
      <c r="K133" s="745"/>
      <c r="L133" s="745"/>
      <c r="M133" s="745"/>
      <c r="N133" s="745"/>
      <c r="O133" s="745"/>
      <c r="P133" s="745"/>
      <c r="Q133" s="784"/>
      <c r="R133" s="717" t="str">
        <f>IFERROR(VLOOKUP($C133,[23]Nod!$A$3:$E$992,4,FALSE)," ")</f>
        <v>LSA34</v>
      </c>
      <c r="S133" s="717">
        <f>IFERROR(VLOOKUP($C133,[23]Nod!$A$3:$E$992,5,FALSE)," ")</f>
        <v>5</v>
      </c>
    </row>
    <row r="134" spans="1:25" ht="15" customHeight="1">
      <c r="A134" s="712" t="s">
        <v>459</v>
      </c>
      <c r="B134" s="515"/>
      <c r="C134" s="782">
        <v>6010</v>
      </c>
      <c r="D134" s="769"/>
      <c r="E134" s="745"/>
      <c r="F134" s="745"/>
      <c r="G134" s="745"/>
      <c r="H134" s="745"/>
      <c r="I134" s="745"/>
      <c r="J134" s="745"/>
      <c r="K134" s="745"/>
      <c r="L134" s="745"/>
      <c r="M134" s="745"/>
      <c r="N134" s="745"/>
      <c r="O134" s="745"/>
      <c r="P134" s="745"/>
      <c r="Q134" s="784"/>
      <c r="R134" s="717" t="str">
        <f>IFERROR(VLOOKUP($C134,[23]Nod!$A$3:$E$992,4,FALSE)," ")</f>
        <v>LSA34</v>
      </c>
      <c r="S134" s="717">
        <f>IFERROR(VLOOKUP($C134,[23]Nod!$A$3:$E$992,5,FALSE)," ")</f>
        <v>5</v>
      </c>
    </row>
    <row r="135" spans="1:25" ht="15" customHeight="1">
      <c r="A135" s="712" t="s">
        <v>460</v>
      </c>
      <c r="B135" s="515"/>
      <c r="C135" s="782">
        <v>6010</v>
      </c>
      <c r="D135" s="769"/>
      <c r="E135" s="745"/>
      <c r="F135" s="745"/>
      <c r="G135" s="745"/>
      <c r="H135" s="745"/>
      <c r="I135" s="745"/>
      <c r="J135" s="745"/>
      <c r="K135" s="745"/>
      <c r="L135" s="745"/>
      <c r="M135" s="745"/>
      <c r="N135" s="745"/>
      <c r="O135" s="745"/>
      <c r="P135" s="745"/>
      <c r="Q135" s="784"/>
      <c r="R135" s="717" t="str">
        <f>IFERROR(VLOOKUP($C135,[23]Nod!$A$3:$E$992,4,FALSE)," ")</f>
        <v>LSA34</v>
      </c>
      <c r="S135" s="717">
        <f>IFERROR(VLOOKUP($C135,[23]Nod!$A$3:$E$992,5,FALSE)," ")</f>
        <v>5</v>
      </c>
    </row>
    <row r="136" spans="1:25" ht="15" customHeight="1">
      <c r="A136" s="712" t="s">
        <v>461</v>
      </c>
      <c r="B136" s="515"/>
      <c r="C136" s="782">
        <v>6010</v>
      </c>
      <c r="D136" s="769"/>
      <c r="E136" s="745"/>
      <c r="F136" s="745"/>
      <c r="G136" s="745"/>
      <c r="H136" s="745"/>
      <c r="I136" s="745"/>
      <c r="J136" s="745"/>
      <c r="K136" s="745"/>
      <c r="L136" s="745"/>
      <c r="M136" s="745"/>
      <c r="N136" s="745"/>
      <c r="O136" s="745"/>
      <c r="P136" s="745"/>
      <c r="Q136" s="784"/>
      <c r="R136" s="717" t="str">
        <f>IFERROR(VLOOKUP($C136,[23]Nod!$A$3:$E$992,4,FALSE)," ")</f>
        <v>LSA34</v>
      </c>
      <c r="S136" s="717">
        <f>IFERROR(VLOOKUP($C136,[23]Nod!$A$3:$E$992,5,FALSE)," ")</f>
        <v>5</v>
      </c>
    </row>
    <row r="137" spans="1:25" ht="15" customHeight="1">
      <c r="A137" s="712" t="s">
        <v>462</v>
      </c>
      <c r="B137" s="515"/>
      <c r="C137" s="782">
        <v>6010</v>
      </c>
      <c r="D137" s="769"/>
      <c r="E137" s="745"/>
      <c r="F137" s="745"/>
      <c r="G137" s="745"/>
      <c r="H137" s="745"/>
      <c r="I137" s="745"/>
      <c r="J137" s="745"/>
      <c r="K137" s="745"/>
      <c r="L137" s="745"/>
      <c r="M137" s="745"/>
      <c r="N137" s="745"/>
      <c r="O137" s="745"/>
      <c r="P137" s="745"/>
      <c r="Q137" s="784"/>
      <c r="R137" s="717" t="str">
        <f>IFERROR(VLOOKUP($C137,[23]Nod!$A$3:$E$992,4,FALSE)," ")</f>
        <v>LSA34</v>
      </c>
      <c r="S137" s="717">
        <f>IFERROR(VLOOKUP($C137,[23]Nod!$A$3:$E$992,5,FALSE)," ")</f>
        <v>5</v>
      </c>
    </row>
    <row r="138" spans="1:25" ht="15" customHeight="1">
      <c r="A138" s="712" t="s">
        <v>463</v>
      </c>
      <c r="B138" s="515"/>
      <c r="C138" s="782">
        <v>6010</v>
      </c>
      <c r="D138" s="769"/>
      <c r="E138" s="745"/>
      <c r="F138" s="745"/>
      <c r="G138" s="745"/>
      <c r="H138" s="745"/>
      <c r="I138" s="745"/>
      <c r="J138" s="745"/>
      <c r="K138" s="745"/>
      <c r="L138" s="745"/>
      <c r="M138" s="745"/>
      <c r="N138" s="745"/>
      <c r="O138" s="745"/>
      <c r="P138" s="745"/>
      <c r="Q138" s="784"/>
      <c r="R138" s="717" t="str">
        <f>IFERROR(VLOOKUP($C138,[23]Nod!$A$3:$E$992,4,FALSE)," ")</f>
        <v>LSA34</v>
      </c>
      <c r="S138" s="717">
        <f>IFERROR(VLOOKUP($C138,[23]Nod!$A$3:$E$992,5,FALSE)," ")</f>
        <v>5</v>
      </c>
    </row>
    <row r="139" spans="1:25" ht="15" customHeight="1">
      <c r="A139" s="712" t="s">
        <v>464</v>
      </c>
      <c r="B139" s="515"/>
      <c r="C139" s="782">
        <v>6240</v>
      </c>
      <c r="D139" s="769"/>
      <c r="E139" s="745"/>
      <c r="F139" s="745"/>
      <c r="G139" s="745"/>
      <c r="H139" s="745"/>
      <c r="I139" s="745"/>
      <c r="J139" s="745"/>
      <c r="K139" s="745"/>
      <c r="L139" s="745"/>
      <c r="M139" s="745"/>
      <c r="N139" s="745"/>
      <c r="O139" s="745"/>
      <c r="P139" s="745"/>
      <c r="Q139" s="784"/>
      <c r="R139" s="717" t="str">
        <f>IFERROR(VLOOKUP($C139,[23]Nod!$A$3:$E$992,4,FALSE)," ")</f>
        <v>EHIG230</v>
      </c>
      <c r="S139" s="717">
        <f>IFERROR(VLOOKUP($C139,[23]Nod!$A$3:$E$992,5,FALSE)," ")</f>
        <v>6</v>
      </c>
    </row>
    <row r="140" spans="1:25" ht="15" customHeight="1">
      <c r="A140" s="712" t="s">
        <v>465</v>
      </c>
      <c r="B140" s="515"/>
      <c r="C140" s="782">
        <v>6010</v>
      </c>
      <c r="D140" s="769"/>
      <c r="E140" s="745"/>
      <c r="F140" s="745"/>
      <c r="G140" s="745"/>
      <c r="H140" s="745"/>
      <c r="I140" s="745"/>
      <c r="J140" s="745"/>
      <c r="K140" s="745"/>
      <c r="L140" s="745"/>
      <c r="M140" s="745"/>
      <c r="N140" s="745"/>
      <c r="O140" s="745"/>
      <c r="P140" s="745"/>
      <c r="Q140" s="784"/>
      <c r="R140" s="717" t="str">
        <f>IFERROR(VLOOKUP($C140,[23]Nod!$A$3:$E$992,4,FALSE)," ")</f>
        <v>LSA34</v>
      </c>
      <c r="S140" s="717">
        <f>IFERROR(VLOOKUP($C140,[23]Nod!$A$3:$E$992,5,FALSE)," ")</f>
        <v>5</v>
      </c>
    </row>
    <row r="141" spans="1:25" ht="15" customHeight="1">
      <c r="A141" s="712" t="s">
        <v>466</v>
      </c>
      <c r="B141" s="515"/>
      <c r="C141" s="782">
        <v>6010</v>
      </c>
      <c r="D141" s="769"/>
      <c r="E141" s="745"/>
      <c r="F141" s="745"/>
      <c r="G141" s="745"/>
      <c r="H141" s="745"/>
      <c r="I141" s="745"/>
      <c r="J141" s="745"/>
      <c r="K141" s="745"/>
      <c r="L141" s="745"/>
      <c r="M141" s="745"/>
      <c r="N141" s="745"/>
      <c r="O141" s="745"/>
      <c r="P141" s="745"/>
      <c r="Q141" s="784"/>
      <c r="R141" s="717" t="str">
        <f>IFERROR(VLOOKUP($C141,[23]Nod!$A$3:$E$992,4,FALSE)," ")</f>
        <v>LSA34</v>
      </c>
      <c r="S141" s="717">
        <f>IFERROR(VLOOKUP($C141,[23]Nod!$A$3:$E$992,5,FALSE)," ")</f>
        <v>5</v>
      </c>
    </row>
    <row r="142" spans="1:25" ht="15" customHeight="1">
      <c r="A142" s="712" t="s">
        <v>467</v>
      </c>
      <c r="B142" s="515"/>
      <c r="C142" s="782">
        <v>6240</v>
      </c>
      <c r="D142" s="769"/>
      <c r="E142" s="745"/>
      <c r="F142" s="745"/>
      <c r="G142" s="745"/>
      <c r="H142" s="745"/>
      <c r="I142" s="745"/>
      <c r="J142" s="745"/>
      <c r="K142" s="745"/>
      <c r="L142" s="745"/>
      <c r="M142" s="745"/>
      <c r="N142" s="745"/>
      <c r="O142" s="745"/>
      <c r="P142" s="745"/>
      <c r="Q142" s="784"/>
      <c r="R142" s="717" t="str">
        <f>IFERROR(VLOOKUP($C142,[23]Nod!$A$3:$E$992,4,FALSE)," ")</f>
        <v>EHIG230</v>
      </c>
      <c r="S142" s="717">
        <f>IFERROR(VLOOKUP($C142,[23]Nod!$A$3:$E$992,5,FALSE)," ")</f>
        <v>6</v>
      </c>
    </row>
    <row r="143" spans="1:25" ht="15" customHeight="1">
      <c r="A143" s="712" t="s">
        <v>468</v>
      </c>
      <c r="B143" s="515"/>
      <c r="C143" s="782">
        <v>6010</v>
      </c>
      <c r="D143" s="769"/>
      <c r="E143" s="745"/>
      <c r="F143" s="745"/>
      <c r="G143" s="745"/>
      <c r="H143" s="745"/>
      <c r="I143" s="745"/>
      <c r="J143" s="745"/>
      <c r="K143" s="745"/>
      <c r="L143" s="745"/>
      <c r="M143" s="745"/>
      <c r="N143" s="745"/>
      <c r="O143" s="745"/>
      <c r="P143" s="745"/>
      <c r="Q143" s="784"/>
      <c r="R143" s="717" t="str">
        <f>IFERROR(VLOOKUP($C143,[23]Nod!$A$3:$E$992,4,FALSE)," ")</f>
        <v>LSA34</v>
      </c>
      <c r="S143" s="717">
        <f>IFERROR(VLOOKUP($C143,[23]Nod!$A$3:$E$992,5,FALSE)," ")</f>
        <v>5</v>
      </c>
    </row>
    <row r="144" spans="1:25" ht="15" customHeight="1">
      <c r="A144" s="723" t="s">
        <v>146</v>
      </c>
      <c r="C144" s="727"/>
      <c r="D144" s="727"/>
      <c r="E144" s="759"/>
      <c r="F144" s="759"/>
      <c r="G144" s="759"/>
      <c r="H144" s="759"/>
      <c r="I144" s="759"/>
      <c r="J144" s="759"/>
      <c r="K144" s="759"/>
      <c r="L144" s="759"/>
      <c r="M144" s="759"/>
      <c r="N144" s="759"/>
      <c r="O144" s="759"/>
      <c r="P144" s="759"/>
      <c r="Q144" s="759"/>
      <c r="R144" s="717"/>
      <c r="S144" s="717"/>
    </row>
    <row r="145" spans="1:19" ht="15" customHeight="1">
      <c r="A145" s="747">
        <v>6</v>
      </c>
      <c r="B145" s="734"/>
      <c r="C145" s="735"/>
      <c r="D145" s="736">
        <f>SUM(D146:D150)</f>
        <v>155.76000000000002</v>
      </c>
      <c r="E145" s="736">
        <f t="shared" ref="E145:P145" si="12">SUM(E146:E147)</f>
        <v>147</v>
      </c>
      <c r="F145" s="736">
        <f t="shared" si="12"/>
        <v>147</v>
      </c>
      <c r="G145" s="736">
        <f t="shared" si="12"/>
        <v>147</v>
      </c>
      <c r="H145" s="736">
        <f t="shared" si="12"/>
        <v>147</v>
      </c>
      <c r="I145" s="736">
        <f t="shared" si="12"/>
        <v>147</v>
      </c>
      <c r="J145" s="736">
        <f t="shared" si="12"/>
        <v>148</v>
      </c>
      <c r="K145" s="736">
        <f t="shared" si="12"/>
        <v>148</v>
      </c>
      <c r="L145" s="736">
        <f t="shared" si="12"/>
        <v>148</v>
      </c>
      <c r="M145" s="736">
        <f t="shared" si="12"/>
        <v>149</v>
      </c>
      <c r="N145" s="736">
        <f t="shared" si="12"/>
        <v>149</v>
      </c>
      <c r="O145" s="736">
        <f t="shared" si="12"/>
        <v>147</v>
      </c>
      <c r="P145" s="736">
        <f t="shared" si="12"/>
        <v>147</v>
      </c>
      <c r="Q145" s="755"/>
      <c r="R145" s="717"/>
      <c r="S145" s="717"/>
    </row>
    <row r="146" spans="1:19" ht="15" customHeight="1">
      <c r="A146" s="712" t="s">
        <v>182</v>
      </c>
      <c r="C146" s="713">
        <v>6005</v>
      </c>
      <c r="D146" s="714">
        <v>147</v>
      </c>
      <c r="E146" s="715">
        <v>147</v>
      </c>
      <c r="F146" s="715">
        <v>147</v>
      </c>
      <c r="G146" s="715">
        <v>147</v>
      </c>
      <c r="H146" s="715">
        <v>147</v>
      </c>
      <c r="I146" s="715">
        <v>147</v>
      </c>
      <c r="J146" s="715">
        <v>148</v>
      </c>
      <c r="K146" s="715">
        <v>148</v>
      </c>
      <c r="L146" s="715">
        <v>148</v>
      </c>
      <c r="M146" s="715">
        <v>149</v>
      </c>
      <c r="N146" s="715">
        <v>149</v>
      </c>
      <c r="O146" s="715">
        <v>147</v>
      </c>
      <c r="P146" s="715">
        <v>147</v>
      </c>
      <c r="Q146" s="716">
        <v>0</v>
      </c>
      <c r="R146" s="717" t="str">
        <f>IFERROR(VLOOKUP($C146,[23]Nod!$A$3:$E$992,4,FALSE)," ")</f>
        <v>CHO230</v>
      </c>
      <c r="S146" s="717">
        <f>IFERROR(VLOOKUP($C146,[23]Nod!$A$3:$E$992,5,FALSE)," ")</f>
        <v>6</v>
      </c>
    </row>
    <row r="147" spans="1:19" ht="15" customHeight="1">
      <c r="A147" s="712" t="s">
        <v>85</v>
      </c>
      <c r="C147" s="763">
        <v>6005</v>
      </c>
      <c r="D147" s="714">
        <v>4.3</v>
      </c>
      <c r="E147" s="715"/>
      <c r="F147" s="715"/>
      <c r="G147" s="715"/>
      <c r="H147" s="715"/>
      <c r="I147" s="715"/>
      <c r="J147" s="715"/>
      <c r="K147" s="715"/>
      <c r="L147" s="715"/>
      <c r="M147" s="715"/>
      <c r="N147" s="715"/>
      <c r="O147" s="715"/>
      <c r="P147" s="715"/>
      <c r="Q147" s="716">
        <v>0</v>
      </c>
      <c r="R147" s="717" t="str">
        <f>IFERROR(VLOOKUP($C147,[23]Nod!$A$3:$E$992,4,FALSE)," ")</f>
        <v>CHO230</v>
      </c>
      <c r="S147" s="717">
        <f>IFERROR(VLOOKUP($C147,[23]Nod!$A$3:$E$992,5,FALSE)," ")</f>
        <v>6</v>
      </c>
    </row>
    <row r="148" spans="1:19" ht="15" customHeight="1">
      <c r="A148" s="712" t="s">
        <v>469</v>
      </c>
      <c r="C148" s="763">
        <v>6005</v>
      </c>
      <c r="D148" s="785">
        <v>0.96</v>
      </c>
      <c r="E148" s="715"/>
      <c r="F148" s="750"/>
      <c r="G148" s="750"/>
      <c r="H148" s="750"/>
      <c r="I148" s="750"/>
      <c r="J148" s="750"/>
      <c r="K148" s="715"/>
      <c r="L148" s="715"/>
      <c r="M148" s="715"/>
      <c r="N148" s="715"/>
      <c r="O148" s="715"/>
      <c r="P148" s="715"/>
      <c r="Q148" s="716"/>
      <c r="R148" s="717" t="str">
        <f>IFERROR(VLOOKUP($C148,[23]Nod!$A$3:$E$992,4,FALSE)," ")</f>
        <v>CHO230</v>
      </c>
      <c r="S148" s="717">
        <f>IFERROR(VLOOKUP($C148,[23]Nod!$A$3:$E$992,5,FALSE)," ")</f>
        <v>6</v>
      </c>
    </row>
    <row r="149" spans="1:19" ht="15" customHeight="1">
      <c r="A149" s="712" t="s">
        <v>470</v>
      </c>
      <c r="C149" s="763">
        <v>6005</v>
      </c>
      <c r="D149" s="785">
        <v>3</v>
      </c>
      <c r="E149" s="715"/>
      <c r="F149" s="750"/>
      <c r="G149" s="750"/>
      <c r="H149" s="750"/>
      <c r="I149" s="750"/>
      <c r="J149" s="750"/>
      <c r="K149" s="715"/>
      <c r="L149" s="715"/>
      <c r="M149" s="715"/>
      <c r="N149" s="715"/>
      <c r="O149" s="715"/>
      <c r="P149" s="715"/>
      <c r="Q149" s="716"/>
      <c r="R149" s="717" t="str">
        <f>IFERROR(VLOOKUP($C149,[23]Nod!$A$3:$E$992,4,FALSE)," ")</f>
        <v>CHO230</v>
      </c>
      <c r="S149" s="717">
        <f>IFERROR(VLOOKUP($C149,[23]Nod!$A$3:$E$992,5,FALSE)," ")</f>
        <v>6</v>
      </c>
    </row>
    <row r="150" spans="1:19" ht="15" customHeight="1">
      <c r="A150" s="712" t="s">
        <v>471</v>
      </c>
      <c r="B150" s="681"/>
      <c r="C150" s="775">
        <v>6005</v>
      </c>
      <c r="D150" s="783">
        <v>0.5</v>
      </c>
      <c r="E150" s="745"/>
      <c r="F150" s="745"/>
      <c r="G150" s="745"/>
      <c r="H150" s="745"/>
      <c r="I150" s="745"/>
      <c r="J150" s="745"/>
      <c r="K150" s="745"/>
      <c r="L150" s="745"/>
      <c r="M150" s="745"/>
      <c r="N150" s="745"/>
      <c r="O150" s="745"/>
      <c r="P150" s="745"/>
      <c r="Q150" s="746">
        <v>13</v>
      </c>
      <c r="R150" s="717" t="str">
        <f>IFERROR(VLOOKUP($C150,[23]Nod!$A$3:$E$992,4,FALSE)," ")</f>
        <v>CHO230</v>
      </c>
      <c r="S150" s="717">
        <f>IFERROR(VLOOKUP($C150,[23]Nod!$A$3:$E$992,5,FALSE)," ")</f>
        <v>6</v>
      </c>
    </row>
    <row r="151" spans="1:19" ht="15" customHeight="1">
      <c r="A151" s="786" t="s">
        <v>146</v>
      </c>
      <c r="B151" s="726"/>
      <c r="C151" s="727"/>
      <c r="E151" s="753"/>
      <c r="F151" s="713"/>
      <c r="G151" s="713"/>
      <c r="H151" s="713"/>
      <c r="I151" s="713"/>
      <c r="J151" s="713"/>
      <c r="K151" s="753"/>
      <c r="L151" s="753"/>
      <c r="M151" s="753"/>
      <c r="N151" s="753"/>
      <c r="O151" s="753"/>
      <c r="P151" s="753"/>
      <c r="Q151" s="753"/>
      <c r="R151" s="717" t="str">
        <f>IFERROR(VLOOKUP($C151,[23]Nod!$A$3:$E$992,4,FALSE)," ")</f>
        <v xml:space="preserve"> </v>
      </c>
      <c r="S151" s="717" t="str">
        <f>IFERROR(VLOOKUP($C151,[23]Nod!$A$3:$E$992,5,FALSE)," ")</f>
        <v xml:space="preserve"> </v>
      </c>
    </row>
    <row r="152" spans="1:19" ht="15" customHeight="1">
      <c r="A152" s="707">
        <v>7</v>
      </c>
      <c r="B152" s="703"/>
      <c r="C152" s="704"/>
      <c r="D152" s="705">
        <f>SUM(D153:D157)</f>
        <v>162.43</v>
      </c>
      <c r="E152" s="705">
        <f t="shared" ref="E152:P152" si="13">SUM(E153:E155)</f>
        <v>119.47999999999999</v>
      </c>
      <c r="F152" s="705">
        <f t="shared" si="13"/>
        <v>119.47999999999999</v>
      </c>
      <c r="G152" s="705">
        <f t="shared" si="13"/>
        <v>119.47999999999999</v>
      </c>
      <c r="H152" s="705">
        <f t="shared" si="13"/>
        <v>119.47999999999999</v>
      </c>
      <c r="I152" s="705">
        <f t="shared" si="13"/>
        <v>65.95</v>
      </c>
      <c r="J152" s="705">
        <f t="shared" si="13"/>
        <v>65.95</v>
      </c>
      <c r="K152" s="705">
        <f t="shared" si="13"/>
        <v>105.8</v>
      </c>
      <c r="L152" s="705">
        <f t="shared" si="13"/>
        <v>105.8</v>
      </c>
      <c r="M152" s="705">
        <f t="shared" si="13"/>
        <v>105.8</v>
      </c>
      <c r="N152" s="705">
        <f t="shared" si="13"/>
        <v>105.8</v>
      </c>
      <c r="O152" s="705">
        <f t="shared" si="13"/>
        <v>105.8</v>
      </c>
      <c r="P152" s="705">
        <f t="shared" si="13"/>
        <v>105.8</v>
      </c>
      <c r="Q152" s="706"/>
      <c r="R152" s="717" t="str">
        <f>IFERROR(VLOOKUP($C152,[23]Nod!$A$3:$E$992,4,FALSE)," ")</f>
        <v xml:space="preserve"> </v>
      </c>
      <c r="S152" s="717" t="str">
        <f>IFERROR(VLOOKUP($C152,[23]Nod!$A$3:$E$992,5,FALSE)," ")</f>
        <v xml:space="preserve"> </v>
      </c>
    </row>
    <row r="153" spans="1:19" ht="15" customHeight="1">
      <c r="A153" s="712" t="s">
        <v>472</v>
      </c>
      <c r="C153" s="713">
        <v>6018</v>
      </c>
      <c r="D153" s="714">
        <v>97.7</v>
      </c>
      <c r="E153" s="715">
        <v>57.85</v>
      </c>
      <c r="F153" s="715">
        <v>57.85</v>
      </c>
      <c r="G153" s="715">
        <v>57.85</v>
      </c>
      <c r="H153" s="715">
        <v>57.85</v>
      </c>
      <c r="I153" s="715">
        <v>57.85</v>
      </c>
      <c r="J153" s="715">
        <v>57.85</v>
      </c>
      <c r="K153" s="787">
        <v>97.7</v>
      </c>
      <c r="L153" s="787">
        <v>97.7</v>
      </c>
      <c r="M153" s="787">
        <v>97.7</v>
      </c>
      <c r="N153" s="787">
        <v>97.7</v>
      </c>
      <c r="O153" s="787">
        <v>97.7</v>
      </c>
      <c r="P153" s="787">
        <v>97.7</v>
      </c>
      <c r="Q153" s="716">
        <v>0</v>
      </c>
      <c r="R153" s="717" t="str">
        <f>IFERROR(VLOOKUP($C153,[23]Nod!$A$3:$E$992,4,FALSE)," ")</f>
        <v>CAC115</v>
      </c>
      <c r="S153" s="717">
        <f>IFERROR(VLOOKUP($C153,[23]Nod!$A$3:$E$992,5,FALSE)," ")</f>
        <v>7</v>
      </c>
    </row>
    <row r="154" spans="1:19" ht="15" customHeight="1">
      <c r="A154" s="712" t="s">
        <v>33</v>
      </c>
      <c r="C154" s="713">
        <v>6171</v>
      </c>
      <c r="D154" s="714">
        <v>53.53</v>
      </c>
      <c r="E154" s="715">
        <v>53.53</v>
      </c>
      <c r="F154" s="715">
        <v>53.53</v>
      </c>
      <c r="G154" s="715">
        <v>53.53</v>
      </c>
      <c r="H154" s="715">
        <v>53.53</v>
      </c>
      <c r="I154" s="715">
        <v>0</v>
      </c>
      <c r="J154" s="715">
        <v>0</v>
      </c>
      <c r="K154" s="715">
        <v>0</v>
      </c>
      <c r="L154" s="715">
        <v>0</v>
      </c>
      <c r="M154" s="715">
        <v>0</v>
      </c>
      <c r="N154" s="715">
        <v>0</v>
      </c>
      <c r="O154" s="715">
        <v>0</v>
      </c>
      <c r="P154" s="715">
        <v>0</v>
      </c>
      <c r="Q154" s="716">
        <v>0</v>
      </c>
      <c r="R154" s="717" t="str">
        <f>IFERROR(VLOOKUP($C154,[23]Nod!$A$3:$E$992,4,FALSE)," ")</f>
        <v>PAC230</v>
      </c>
      <c r="S154" s="717">
        <f>IFERROR(VLOOKUP($C154,[23]Nod!$A$3:$E$992,5,FALSE)," ")</f>
        <v>7</v>
      </c>
    </row>
    <row r="155" spans="1:19" ht="15" customHeight="1">
      <c r="A155" s="723" t="s">
        <v>473</v>
      </c>
      <c r="C155" s="713">
        <v>6002</v>
      </c>
      <c r="D155" s="714">
        <v>8.1</v>
      </c>
      <c r="E155" s="715">
        <v>8.1</v>
      </c>
      <c r="F155" s="715">
        <v>8.1</v>
      </c>
      <c r="G155" s="715">
        <v>8.1</v>
      </c>
      <c r="H155" s="715">
        <v>8.1</v>
      </c>
      <c r="I155" s="715">
        <v>8.1</v>
      </c>
      <c r="J155" s="715">
        <v>8.1</v>
      </c>
      <c r="K155" s="715">
        <v>8.1</v>
      </c>
      <c r="L155" s="715">
        <v>8.1</v>
      </c>
      <c r="M155" s="715">
        <v>8.1</v>
      </c>
      <c r="N155" s="715">
        <v>8.1</v>
      </c>
      <c r="O155" s="715">
        <v>8.1</v>
      </c>
      <c r="P155" s="715">
        <v>8.1</v>
      </c>
      <c r="Q155" s="716">
        <v>0</v>
      </c>
      <c r="R155" s="717" t="str">
        <f>IFERROR(VLOOKUP($C155,[23]Nod!$A$3:$E$992,4,FALSE)," ")</f>
        <v>PAN115</v>
      </c>
      <c r="S155" s="717">
        <f>IFERROR(VLOOKUP($C155,[23]Nod!$A$3:$E$992,5,FALSE)," ")</f>
        <v>7</v>
      </c>
    </row>
    <row r="156" spans="1:19" ht="15" customHeight="1">
      <c r="A156" s="788" t="s">
        <v>474</v>
      </c>
      <c r="B156" s="681"/>
      <c r="C156" s="772">
        <v>6018</v>
      </c>
      <c r="D156" s="783">
        <v>0.1</v>
      </c>
      <c r="E156" s="745"/>
      <c r="F156" s="745"/>
      <c r="G156" s="745"/>
      <c r="H156" s="745"/>
      <c r="I156" s="745"/>
      <c r="J156" s="745"/>
      <c r="K156" s="745"/>
      <c r="L156" s="745"/>
      <c r="M156" s="745"/>
      <c r="N156" s="745"/>
      <c r="O156" s="745"/>
      <c r="P156" s="745"/>
      <c r="Q156" s="784">
        <v>13</v>
      </c>
      <c r="R156" s="717" t="str">
        <f>IFERROR(VLOOKUP($C156,[23]Nod!$A$3:$E$992,4,FALSE)," ")</f>
        <v>CAC115</v>
      </c>
      <c r="S156" s="717">
        <f>IFERROR(VLOOKUP($C156,[23]Nod!$A$3:$E$992,5,FALSE)," ")</f>
        <v>7</v>
      </c>
    </row>
    <row r="157" spans="1:19" ht="15" customHeight="1">
      <c r="A157" s="788" t="s">
        <v>475</v>
      </c>
      <c r="B157" s="681"/>
      <c r="C157" s="772">
        <v>6171</v>
      </c>
      <c r="D157" s="783">
        <v>3</v>
      </c>
      <c r="E157" s="745"/>
      <c r="F157" s="745"/>
      <c r="G157" s="745"/>
      <c r="H157" s="745"/>
      <c r="I157" s="745"/>
      <c r="J157" s="745"/>
      <c r="K157" s="745"/>
      <c r="L157" s="745"/>
      <c r="M157" s="745"/>
      <c r="N157" s="745"/>
      <c r="O157" s="745"/>
      <c r="P157" s="745"/>
      <c r="Q157" s="784">
        <v>13</v>
      </c>
      <c r="R157" s="717" t="str">
        <f>IFERROR(VLOOKUP($C157,[23]Nod!$A$3:$E$992,4,FALSE)," ")</f>
        <v>PAC230</v>
      </c>
      <c r="S157" s="717">
        <f>IFERROR(VLOOKUP($C157,[23]Nod!$A$3:$E$992,5,FALSE)," ")</f>
        <v>7</v>
      </c>
    </row>
    <row r="158" spans="1:19" ht="15" customHeight="1">
      <c r="A158" s="723"/>
      <c r="C158" s="713"/>
      <c r="D158" s="714"/>
      <c r="E158" s="715"/>
      <c r="F158" s="715"/>
      <c r="G158" s="715"/>
      <c r="H158" s="715"/>
      <c r="I158" s="715"/>
      <c r="J158" s="715"/>
      <c r="K158" s="715"/>
      <c r="L158" s="715"/>
      <c r="M158" s="715"/>
      <c r="N158" s="715"/>
      <c r="O158" s="715"/>
      <c r="P158" s="715"/>
      <c r="Q158" s="789"/>
      <c r="R158" s="717" t="str">
        <f>IFERROR(VLOOKUP($C158,[23]Nod!$A$3:$E$992,4,FALSE)," ")</f>
        <v xml:space="preserve"> </v>
      </c>
      <c r="S158" s="717" t="str">
        <f>IFERROR(VLOOKUP($C158,[23]Nod!$A$3:$E$992,5,FALSE)," ")</f>
        <v xml:space="preserve"> </v>
      </c>
    </row>
    <row r="159" spans="1:19" ht="15" customHeight="1">
      <c r="A159" s="747">
        <v>8</v>
      </c>
      <c r="B159" s="790"/>
      <c r="C159" s="735"/>
      <c r="D159" s="736">
        <f>SUM(D160)</f>
        <v>260</v>
      </c>
      <c r="E159" s="736">
        <v>260</v>
      </c>
      <c r="F159" s="736">
        <v>260</v>
      </c>
      <c r="G159" s="736">
        <v>260</v>
      </c>
      <c r="H159" s="736">
        <v>260</v>
      </c>
      <c r="I159" s="736">
        <f t="shared" ref="I159:P159" si="14">SUM(I160)</f>
        <v>260</v>
      </c>
      <c r="J159" s="736">
        <f t="shared" si="14"/>
        <v>260</v>
      </c>
      <c r="K159" s="736">
        <f t="shared" si="14"/>
        <v>260</v>
      </c>
      <c r="L159" s="736">
        <f t="shared" si="14"/>
        <v>260</v>
      </c>
      <c r="M159" s="736">
        <f t="shared" si="14"/>
        <v>260</v>
      </c>
      <c r="N159" s="736">
        <f t="shared" si="14"/>
        <v>260</v>
      </c>
      <c r="O159" s="736">
        <f t="shared" si="14"/>
        <v>260</v>
      </c>
      <c r="P159" s="736">
        <f t="shared" si="14"/>
        <v>260</v>
      </c>
      <c r="Q159" s="755"/>
      <c r="R159" s="717" t="str">
        <f>IFERROR(VLOOKUP($C159,[23]Nod!$A$3:$E$992,4,FALSE)," ")</f>
        <v xml:space="preserve"> </v>
      </c>
      <c r="S159" s="717" t="str">
        <f>IFERROR(VLOOKUP($C159,[23]Nod!$A$3:$E$992,5,FALSE)," ")</f>
        <v xml:space="preserve"> </v>
      </c>
    </row>
    <row r="160" spans="1:19" ht="15" customHeight="1">
      <c r="A160" s="712" t="s">
        <v>4</v>
      </c>
      <c r="C160" s="713">
        <v>6100</v>
      </c>
      <c r="D160" s="714">
        <v>260</v>
      </c>
      <c r="E160" s="715">
        <v>260</v>
      </c>
      <c r="F160" s="715">
        <v>260</v>
      </c>
      <c r="G160" s="715">
        <v>260</v>
      </c>
      <c r="H160" s="715">
        <v>260</v>
      </c>
      <c r="I160" s="715">
        <v>260</v>
      </c>
      <c r="J160" s="715">
        <v>260</v>
      </c>
      <c r="K160" s="715">
        <v>260</v>
      </c>
      <c r="L160" s="715">
        <v>260</v>
      </c>
      <c r="M160" s="715">
        <v>260</v>
      </c>
      <c r="N160" s="715">
        <v>260</v>
      </c>
      <c r="O160" s="715">
        <v>260</v>
      </c>
      <c r="P160" s="715">
        <v>260</v>
      </c>
      <c r="Q160" s="716">
        <v>0</v>
      </c>
      <c r="R160" s="717" t="str">
        <f>IFERROR(VLOOKUP($C160,[23]Nod!$A$3:$E$992,4,FALSE)," ")</f>
        <v>BAY230</v>
      </c>
      <c r="S160" s="717">
        <f>IFERROR(VLOOKUP($C160,[23]Nod!$A$3:$E$992,5,FALSE)," ")</f>
        <v>8</v>
      </c>
    </row>
    <row r="161" spans="1:19" ht="15" customHeight="1">
      <c r="A161" s="723" t="s">
        <v>146</v>
      </c>
      <c r="B161" s="726"/>
      <c r="C161" s="727"/>
      <c r="D161" s="728"/>
      <c r="E161" s="728"/>
      <c r="F161" s="728"/>
      <c r="G161" s="728"/>
      <c r="H161" s="728"/>
      <c r="I161" s="728"/>
      <c r="J161" s="728"/>
      <c r="K161" s="728"/>
      <c r="L161" s="728"/>
      <c r="M161" s="728"/>
      <c r="N161" s="728"/>
      <c r="O161" s="728"/>
      <c r="P161" s="728"/>
      <c r="Q161" s="760"/>
      <c r="R161" s="717" t="str">
        <f>IFERROR(VLOOKUP($C161,[23]Nod!$A$3:$E$992,4,FALSE)," ")</f>
        <v xml:space="preserve"> </v>
      </c>
      <c r="S161" s="717" t="str">
        <f>IFERROR(VLOOKUP($C161,[23]Nod!$A$3:$E$992,5,FALSE)," ")</f>
        <v xml:space="preserve"> </v>
      </c>
    </row>
    <row r="162" spans="1:19" ht="15" customHeight="1">
      <c r="A162" s="747">
        <v>9</v>
      </c>
      <c r="B162" s="790"/>
      <c r="C162" s="791"/>
      <c r="D162" s="705">
        <f>SUM(D163:D168)</f>
        <v>945.45</v>
      </c>
      <c r="E162" s="705">
        <f>SUM(E163:E167)</f>
        <v>896.25</v>
      </c>
      <c r="F162" s="705">
        <f t="shared" ref="F162:K162" si="15">SUM(F163:F168)</f>
        <v>774.45</v>
      </c>
      <c r="G162" s="705">
        <f t="shared" si="15"/>
        <v>774.45</v>
      </c>
      <c r="H162" s="705">
        <f t="shared" si="15"/>
        <v>774.45</v>
      </c>
      <c r="I162" s="705">
        <f t="shared" si="15"/>
        <v>774.45</v>
      </c>
      <c r="J162" s="705">
        <f t="shared" si="15"/>
        <v>774.45</v>
      </c>
      <c r="K162" s="705">
        <f t="shared" si="15"/>
        <v>774.45</v>
      </c>
      <c r="L162" s="705">
        <f>SUM(L163:L168)</f>
        <v>774.45</v>
      </c>
      <c r="M162" s="705">
        <f>SUM(M163:M168)</f>
        <v>774.45</v>
      </c>
      <c r="N162" s="705">
        <f>SUM(N163:N168)</f>
        <v>774.45</v>
      </c>
      <c r="O162" s="705">
        <f>SUM(O163:O168)</f>
        <v>740.45</v>
      </c>
      <c r="P162" s="705">
        <f>SUM(P163:P168)</f>
        <v>740.45</v>
      </c>
      <c r="Q162" s="706"/>
      <c r="R162" s="717" t="str">
        <f>IFERROR(VLOOKUP($C162,[23]Nod!$A$3:$E$992,4,FALSE)," ")</f>
        <v xml:space="preserve"> </v>
      </c>
      <c r="S162" s="717" t="str">
        <f>IFERROR(VLOOKUP($C162,[23]Nod!$A$3:$E$992,5,FALSE)," ")</f>
        <v xml:space="preserve"> </v>
      </c>
    </row>
    <row r="163" spans="1:19" ht="15" customHeight="1">
      <c r="A163" s="712" t="s">
        <v>476</v>
      </c>
      <c r="C163" s="713">
        <v>6059</v>
      </c>
      <c r="D163" s="714">
        <v>273</v>
      </c>
      <c r="E163" s="715">
        <v>273</v>
      </c>
      <c r="F163" s="792">
        <v>102</v>
      </c>
      <c r="G163" s="792">
        <v>102</v>
      </c>
      <c r="H163" s="792">
        <v>102</v>
      </c>
      <c r="I163" s="792">
        <v>102</v>
      </c>
      <c r="J163" s="792">
        <v>102</v>
      </c>
      <c r="K163" s="792">
        <v>102</v>
      </c>
      <c r="L163" s="792">
        <v>102</v>
      </c>
      <c r="M163" s="792">
        <v>102</v>
      </c>
      <c r="N163" s="792">
        <v>102</v>
      </c>
      <c r="O163" s="792">
        <v>68</v>
      </c>
      <c r="P163" s="792">
        <v>68</v>
      </c>
      <c r="Q163" s="741">
        <v>0</v>
      </c>
      <c r="R163" s="717" t="str">
        <f>IFERROR(VLOOKUP($C163,[23]Nod!$A$3:$E$992,4,FALSE)," ")</f>
        <v>LM1115</v>
      </c>
      <c r="S163" s="717">
        <f>IFERROR(VLOOKUP($C163,[23]Nod!$A$3:$E$992,5,FALSE)," ")</f>
        <v>9</v>
      </c>
    </row>
    <row r="164" spans="1:19" ht="15" customHeight="1">
      <c r="A164" s="712" t="s">
        <v>194</v>
      </c>
      <c r="C164" s="713">
        <v>6059</v>
      </c>
      <c r="D164" s="714">
        <v>87.2</v>
      </c>
      <c r="E164" s="715">
        <v>87.2</v>
      </c>
      <c r="F164" s="715">
        <v>87.2</v>
      </c>
      <c r="G164" s="715">
        <v>87.2</v>
      </c>
      <c r="H164" s="715">
        <v>87.2</v>
      </c>
      <c r="I164" s="715">
        <v>87.2</v>
      </c>
      <c r="J164" s="715">
        <v>87.2</v>
      </c>
      <c r="K164" s="715">
        <v>87.2</v>
      </c>
      <c r="L164" s="715">
        <v>87.2</v>
      </c>
      <c r="M164" s="715">
        <v>87.2</v>
      </c>
      <c r="N164" s="715">
        <v>87.2</v>
      </c>
      <c r="O164" s="715">
        <v>87.2</v>
      </c>
      <c r="P164" s="715">
        <v>87.2</v>
      </c>
      <c r="Q164" s="716">
        <v>0</v>
      </c>
      <c r="R164" s="717" t="str">
        <f>IFERROR(VLOOKUP($C164,[23]Nod!$A$3:$E$992,4,FALSE)," ")</f>
        <v>LM1115</v>
      </c>
      <c r="S164" s="717">
        <f>IFERROR(VLOOKUP($C164,[23]Nod!$A$3:$E$992,5,FALSE)," ")</f>
        <v>9</v>
      </c>
    </row>
    <row r="165" spans="1:19" ht="15" customHeight="1">
      <c r="A165" s="712" t="s">
        <v>195</v>
      </c>
      <c r="C165" s="713">
        <v>6290</v>
      </c>
      <c r="D165" s="714">
        <v>150</v>
      </c>
      <c r="E165" s="777">
        <v>150</v>
      </c>
      <c r="F165" s="777">
        <v>150</v>
      </c>
      <c r="G165" s="777">
        <v>150</v>
      </c>
      <c r="H165" s="777">
        <v>150</v>
      </c>
      <c r="I165" s="777">
        <v>150</v>
      </c>
      <c r="J165" s="777">
        <v>150</v>
      </c>
      <c r="K165" s="777">
        <v>150</v>
      </c>
      <c r="L165" s="777">
        <v>150</v>
      </c>
      <c r="M165" s="777">
        <v>150</v>
      </c>
      <c r="N165" s="777">
        <v>150</v>
      </c>
      <c r="O165" s="777">
        <v>150</v>
      </c>
      <c r="P165" s="777">
        <v>150</v>
      </c>
      <c r="Q165" s="716">
        <v>0</v>
      </c>
      <c r="R165" s="717" t="str">
        <f>IFERROR(VLOOKUP($C165,[23]Nod!$A$3:$E$992,4,FALSE)," ")</f>
        <v>CATII115</v>
      </c>
      <c r="S165" s="717">
        <f>IFERROR(VLOOKUP($C165,[23]Nod!$A$3:$E$992,5,FALSE)," ")</f>
        <v>9</v>
      </c>
    </row>
    <row r="166" spans="1:19" ht="15" customHeight="1">
      <c r="A166" s="723" t="s">
        <v>477</v>
      </c>
      <c r="C166" s="713">
        <v>6801</v>
      </c>
      <c r="D166" s="714">
        <v>381</v>
      </c>
      <c r="E166" s="715">
        <v>381</v>
      </c>
      <c r="F166" s="715">
        <v>381</v>
      </c>
      <c r="G166" s="715">
        <v>381</v>
      </c>
      <c r="H166" s="715">
        <v>381</v>
      </c>
      <c r="I166" s="715">
        <v>381</v>
      </c>
      <c r="J166" s="715">
        <v>381</v>
      </c>
      <c r="K166" s="715">
        <v>381</v>
      </c>
      <c r="L166" s="715">
        <v>381</v>
      </c>
      <c r="M166" s="715">
        <v>381</v>
      </c>
      <c r="N166" s="715">
        <v>381</v>
      </c>
      <c r="O166" s="715">
        <v>381</v>
      </c>
      <c r="P166" s="715">
        <v>381</v>
      </c>
      <c r="Q166" s="716">
        <v>0</v>
      </c>
      <c r="R166" s="717" t="str">
        <f>IFERROR(VLOOKUP($C166,[23]Nod!$A$3:$E$992,4,FALSE)," ")</f>
        <v>CNO230</v>
      </c>
      <c r="S166" s="717">
        <f>IFERROR(VLOOKUP($C166,[23]Nod!$A$3:$E$992,5,FALSE)," ")</f>
        <v>9</v>
      </c>
    </row>
    <row r="167" spans="1:19" ht="15" customHeight="1">
      <c r="A167" s="723" t="s">
        <v>478</v>
      </c>
      <c r="C167" s="713">
        <v>6173</v>
      </c>
      <c r="D167" s="714">
        <v>5.05</v>
      </c>
      <c r="E167" s="715">
        <v>5.05</v>
      </c>
      <c r="F167" s="715">
        <v>5.05</v>
      </c>
      <c r="G167" s="715">
        <v>5.05</v>
      </c>
      <c r="H167" s="715">
        <v>5.05</v>
      </c>
      <c r="I167" s="715">
        <v>5.05</v>
      </c>
      <c r="J167" s="715">
        <v>5.05</v>
      </c>
      <c r="K167" s="715">
        <v>5.05</v>
      </c>
      <c r="L167" s="715">
        <v>5.05</v>
      </c>
      <c r="M167" s="715">
        <v>5.05</v>
      </c>
      <c r="N167" s="715">
        <v>5.05</v>
      </c>
      <c r="O167" s="715">
        <v>5.05</v>
      </c>
      <c r="P167" s="715">
        <v>5.05</v>
      </c>
      <c r="Q167" s="716"/>
      <c r="R167" s="717" t="str">
        <f>IFERROR(VLOOKUP($C167,[23]Nod!$A$3:$E$992,4,FALSE)," ")</f>
        <v>STR115</v>
      </c>
      <c r="S167" s="717">
        <f>IFERROR(VLOOKUP($C167,[23]Nod!$A$3:$E$992,5,FALSE)," ")</f>
        <v>9</v>
      </c>
    </row>
    <row r="168" spans="1:19" ht="15" customHeight="1">
      <c r="A168" s="723" t="s">
        <v>479</v>
      </c>
      <c r="C168" s="713">
        <v>6173</v>
      </c>
      <c r="D168" s="714">
        <v>49.2</v>
      </c>
      <c r="E168" s="715">
        <v>0</v>
      </c>
      <c r="F168" s="792">
        <v>49.2</v>
      </c>
      <c r="G168" s="792">
        <v>49.2</v>
      </c>
      <c r="H168" s="792">
        <v>49.2</v>
      </c>
      <c r="I168" s="792">
        <v>49.2</v>
      </c>
      <c r="J168" s="792">
        <v>49.2</v>
      </c>
      <c r="K168" s="792">
        <v>49.2</v>
      </c>
      <c r="L168" s="792">
        <v>49.2</v>
      </c>
      <c r="M168" s="792">
        <v>49.2</v>
      </c>
      <c r="N168" s="792">
        <v>49.2</v>
      </c>
      <c r="O168" s="792">
        <v>49.2</v>
      </c>
      <c r="P168" s="792">
        <v>49.2</v>
      </c>
      <c r="Q168" s="741"/>
      <c r="R168" s="717" t="str">
        <f>IFERROR(VLOOKUP($C168,[23]Nod!$A$3:$E$992,4,FALSE)," ")</f>
        <v>STR115</v>
      </c>
      <c r="S168" s="717">
        <f>IFERROR(VLOOKUP($C168,[23]Nod!$A$3:$E$992,5,FALSE)," ")</f>
        <v>9</v>
      </c>
    </row>
    <row r="169" spans="1:19" s="681" customFormat="1" ht="15" customHeight="1">
      <c r="A169" s="723" t="s">
        <v>480</v>
      </c>
      <c r="C169" s="772">
        <v>6173</v>
      </c>
      <c r="D169" s="714"/>
      <c r="E169" s="745"/>
      <c r="F169" s="745"/>
      <c r="G169" s="745"/>
      <c r="H169" s="745"/>
      <c r="I169" s="745"/>
      <c r="J169" s="745"/>
      <c r="K169" s="745"/>
      <c r="L169" s="745"/>
      <c r="M169" s="745"/>
      <c r="N169" s="745"/>
      <c r="O169" s="745"/>
      <c r="P169" s="793"/>
      <c r="Q169" s="746"/>
      <c r="R169" s="717" t="str">
        <f>IFERROR(VLOOKUP($C169,[23]Nod!$A$3:$E$992,4,FALSE)," ")</f>
        <v>STR115</v>
      </c>
      <c r="S169" s="717">
        <f>IFERROR(VLOOKUP($C169,[23]Nod!$A$3:$E$992,5,FALSE)," ")</f>
        <v>9</v>
      </c>
    </row>
    <row r="170" spans="1:19" ht="15" customHeight="1">
      <c r="A170" s="723" t="s">
        <v>146</v>
      </c>
      <c r="C170" s="713"/>
      <c r="D170" s="753"/>
      <c r="E170" s="753"/>
      <c r="F170" s="753"/>
      <c r="G170" s="753"/>
      <c r="H170" s="753"/>
      <c r="I170" s="753"/>
      <c r="J170" s="753"/>
      <c r="K170" s="753"/>
      <c r="L170" s="753"/>
      <c r="M170" s="753"/>
      <c r="N170" s="753"/>
      <c r="O170" s="753"/>
      <c r="P170" s="753"/>
      <c r="Q170" s="716"/>
      <c r="R170" s="717" t="str">
        <f>IFERROR(VLOOKUP($C170,[23]Nod!$A$3:$E$992,4,FALSE)," ")</f>
        <v xml:space="preserve"> </v>
      </c>
      <c r="S170" s="717" t="str">
        <f>IFERROR(VLOOKUP($C170,[23]Nod!$A$3:$E$992,5,FALSE)," ")</f>
        <v xml:space="preserve"> </v>
      </c>
    </row>
    <row r="171" spans="1:19" ht="15" customHeight="1">
      <c r="A171" s="747">
        <v>10</v>
      </c>
      <c r="B171" s="790"/>
      <c r="C171" s="794"/>
      <c r="D171" s="736">
        <f>SUM(D172:D173)</f>
        <v>252.17</v>
      </c>
      <c r="E171" s="736">
        <v>252.17</v>
      </c>
      <c r="F171" s="736">
        <v>252.17</v>
      </c>
      <c r="G171" s="736">
        <v>252.17</v>
      </c>
      <c r="H171" s="736">
        <v>252.17</v>
      </c>
      <c r="I171" s="736">
        <f t="shared" ref="I171:P171" si="16">SUM(I172:I173)</f>
        <v>252.17</v>
      </c>
      <c r="J171" s="736">
        <f t="shared" si="16"/>
        <v>252.17</v>
      </c>
      <c r="K171" s="736">
        <f t="shared" si="16"/>
        <v>252.17</v>
      </c>
      <c r="L171" s="736">
        <f t="shared" si="16"/>
        <v>252.17</v>
      </c>
      <c r="M171" s="736">
        <f t="shared" si="16"/>
        <v>252.17</v>
      </c>
      <c r="N171" s="736">
        <f t="shared" si="16"/>
        <v>252.17</v>
      </c>
      <c r="O171" s="736">
        <f t="shared" si="16"/>
        <v>252.17</v>
      </c>
      <c r="P171" s="736">
        <f t="shared" si="16"/>
        <v>252.17</v>
      </c>
      <c r="Q171" s="755"/>
      <c r="R171" s="717" t="str">
        <f>IFERROR(VLOOKUP($C171,[23]Nod!$A$3:$E$992,4,FALSE)," ")</f>
        <v xml:space="preserve"> </v>
      </c>
      <c r="S171" s="717" t="str">
        <f>IFERROR(VLOOKUP($C171,[23]Nod!$A$3:$E$992,5,FALSE)," ")</f>
        <v xml:space="preserve"> </v>
      </c>
    </row>
    <row r="172" spans="1:19" ht="15" customHeight="1">
      <c r="A172" s="712" t="s">
        <v>191</v>
      </c>
      <c r="C172" s="713">
        <v>6263</v>
      </c>
      <c r="D172" s="714">
        <v>222.17</v>
      </c>
      <c r="E172" s="715">
        <v>222.17</v>
      </c>
      <c r="F172" s="715">
        <v>222.17</v>
      </c>
      <c r="G172" s="715">
        <v>222.17</v>
      </c>
      <c r="H172" s="715">
        <v>222.17</v>
      </c>
      <c r="I172" s="715">
        <v>222.17</v>
      </c>
      <c r="J172" s="715">
        <v>222.17</v>
      </c>
      <c r="K172" s="715">
        <v>222.17</v>
      </c>
      <c r="L172" s="715">
        <v>222.17</v>
      </c>
      <c r="M172" s="715">
        <v>222.17</v>
      </c>
      <c r="N172" s="715">
        <v>222.17</v>
      </c>
      <c r="O172" s="715">
        <v>222.17</v>
      </c>
      <c r="P172" s="715">
        <v>222.17</v>
      </c>
      <c r="Q172" s="716">
        <v>0</v>
      </c>
      <c r="R172" s="717" t="str">
        <f>IFERROR(VLOOKUP($C172,[23]Nod!$A$3:$E$992,4,FALSE)," ")</f>
        <v>ESP230</v>
      </c>
      <c r="S172" s="717">
        <f>IFERROR(VLOOKUP($C172,[23]Nod!$A$3:$E$992,5,FALSE)," ")</f>
        <v>10</v>
      </c>
    </row>
    <row r="173" spans="1:19" ht="15" customHeight="1">
      <c r="A173" s="712" t="s">
        <v>14</v>
      </c>
      <c r="C173" s="713">
        <v>6261</v>
      </c>
      <c r="D173" s="714">
        <v>30</v>
      </c>
      <c r="E173" s="715">
        <v>30</v>
      </c>
      <c r="F173" s="715">
        <v>30</v>
      </c>
      <c r="G173" s="715">
        <v>30</v>
      </c>
      <c r="H173" s="715">
        <v>30</v>
      </c>
      <c r="I173" s="715">
        <v>30</v>
      </c>
      <c r="J173" s="715">
        <v>30</v>
      </c>
      <c r="K173" s="715">
        <v>30</v>
      </c>
      <c r="L173" s="715">
        <v>30</v>
      </c>
      <c r="M173" s="715">
        <v>30</v>
      </c>
      <c r="N173" s="715">
        <v>30</v>
      </c>
      <c r="O173" s="715">
        <v>30</v>
      </c>
      <c r="P173" s="715">
        <v>30</v>
      </c>
      <c r="Q173" s="716">
        <v>0</v>
      </c>
      <c r="R173" s="717" t="str">
        <f>IFERROR(VLOOKUP($C173,[23]Nod!$A$3:$E$992,4,FALSE)," ")</f>
        <v>CHA115</v>
      </c>
      <c r="S173" s="717">
        <f>IFERROR(VLOOKUP($C173,[23]Nod!$A$3:$E$992,5,FALSE)," ")</f>
        <v>10</v>
      </c>
    </row>
    <row r="174" spans="1:19" ht="15" customHeight="1">
      <c r="A174" s="786" t="s">
        <v>146</v>
      </c>
      <c r="B174" s="726"/>
      <c r="C174" s="727"/>
      <c r="D174" s="728"/>
      <c r="E174" s="728"/>
      <c r="F174" s="728"/>
      <c r="G174" s="728"/>
      <c r="H174" s="728"/>
      <c r="I174" s="728"/>
      <c r="J174" s="728"/>
      <c r="K174" s="728"/>
      <c r="L174" s="728"/>
      <c r="M174" s="728"/>
      <c r="N174" s="728"/>
      <c r="O174" s="728"/>
      <c r="P174" s="728"/>
      <c r="Q174" s="760"/>
    </row>
    <row r="176" spans="1:19" ht="15" customHeight="1">
      <c r="D176" s="680"/>
      <c r="E176" s="680"/>
      <c r="F176" s="680"/>
      <c r="G176" s="680"/>
      <c r="H176" s="680"/>
      <c r="I176" s="680"/>
      <c r="J176" s="680"/>
      <c r="K176" s="680"/>
      <c r="L176" s="680"/>
      <c r="M176" s="680"/>
      <c r="N176" s="680"/>
      <c r="O176" s="680"/>
      <c r="P176" s="680"/>
    </row>
    <row r="177" spans="1:16" ht="15" customHeight="1">
      <c r="A177" s="622"/>
      <c r="D177" s="680"/>
      <c r="E177" s="680"/>
      <c r="F177" s="680"/>
      <c r="G177" s="680"/>
      <c r="H177" s="680"/>
      <c r="I177" s="680"/>
      <c r="J177" s="680"/>
      <c r="K177" s="680"/>
      <c r="L177" s="680"/>
      <c r="M177" s="680"/>
      <c r="N177" s="680"/>
      <c r="O177" s="680"/>
      <c r="P177" s="680"/>
    </row>
    <row r="178" spans="1:16" ht="15" customHeight="1">
      <c r="A178" s="622"/>
      <c r="D178" s="680"/>
      <c r="E178" s="795"/>
      <c r="F178" s="680"/>
      <c r="G178" s="680"/>
      <c r="H178" s="680"/>
      <c r="I178" s="680"/>
      <c r="J178" s="680"/>
      <c r="K178" s="680"/>
      <c r="L178" s="680"/>
      <c r="M178" s="680"/>
      <c r="N178" s="680"/>
      <c r="O178" s="680"/>
      <c r="P178" s="680"/>
    </row>
    <row r="179" spans="1:16" ht="15" customHeight="1">
      <c r="D179" s="680"/>
      <c r="E179" s="680"/>
      <c r="F179" s="680"/>
      <c r="G179" s="680"/>
      <c r="H179" s="680"/>
      <c r="I179" s="680"/>
      <c r="J179" s="680"/>
      <c r="K179" s="680"/>
      <c r="L179" s="680"/>
      <c r="M179" s="680"/>
      <c r="N179" s="680"/>
      <c r="O179" s="680"/>
      <c r="P179" s="680"/>
    </row>
    <row r="180" spans="1:16" ht="15" customHeight="1">
      <c r="D180" s="680"/>
      <c r="E180" s="680"/>
      <c r="F180" s="680"/>
      <c r="G180" s="680"/>
      <c r="H180" s="680"/>
      <c r="I180" s="680"/>
      <c r="J180" s="680"/>
      <c r="K180" s="680"/>
      <c r="L180" s="680"/>
      <c r="M180" s="680"/>
      <c r="N180" s="680"/>
      <c r="O180" s="680"/>
      <c r="P180" s="680"/>
    </row>
    <row r="181" spans="1:16" ht="15" customHeight="1">
      <c r="D181" s="680"/>
      <c r="E181" s="680"/>
      <c r="F181" s="680"/>
      <c r="G181" s="680"/>
      <c r="H181" s="680"/>
      <c r="I181" s="680"/>
      <c r="J181" s="680"/>
      <c r="K181" s="680"/>
      <c r="L181" s="680"/>
      <c r="M181" s="680"/>
      <c r="N181" s="680"/>
      <c r="O181" s="680"/>
      <c r="P181" s="680"/>
    </row>
    <row r="182" spans="1:16" ht="15" customHeight="1">
      <c r="D182" s="680"/>
      <c r="E182" s="680"/>
      <c r="F182" s="680"/>
      <c r="G182" s="680"/>
      <c r="H182" s="680"/>
      <c r="I182" s="680"/>
      <c r="J182" s="680"/>
      <c r="K182" s="680"/>
      <c r="L182" s="680"/>
      <c r="M182" s="680"/>
      <c r="N182" s="680"/>
      <c r="O182" s="680"/>
      <c r="P182" s="680"/>
    </row>
    <row r="183" spans="1:16" ht="15" customHeight="1">
      <c r="D183" s="680"/>
      <c r="E183" s="680"/>
      <c r="F183" s="680"/>
      <c r="G183" s="680"/>
      <c r="H183" s="680"/>
      <c r="I183" s="680"/>
      <c r="J183" s="680"/>
      <c r="K183" s="680"/>
      <c r="L183" s="680"/>
      <c r="M183" s="680"/>
      <c r="N183" s="680"/>
      <c r="O183" s="680"/>
      <c r="P183" s="680"/>
    </row>
    <row r="184" spans="1:16" ht="15" customHeight="1">
      <c r="D184" s="680"/>
      <c r="E184" s="680"/>
      <c r="F184" s="680"/>
      <c r="G184" s="680"/>
      <c r="H184" s="680"/>
      <c r="I184" s="680"/>
      <c r="J184" s="680"/>
      <c r="K184" s="680"/>
      <c r="L184" s="680"/>
      <c r="M184" s="680"/>
      <c r="N184" s="680"/>
      <c r="O184" s="680"/>
      <c r="P184" s="680"/>
    </row>
    <row r="185" spans="1:16" ht="15" customHeight="1">
      <c r="D185" s="680"/>
      <c r="E185" s="680"/>
      <c r="F185" s="680"/>
      <c r="G185" s="680"/>
      <c r="H185" s="680"/>
      <c r="I185" s="680"/>
      <c r="J185" s="680"/>
      <c r="K185" s="680"/>
      <c r="L185" s="680"/>
      <c r="M185" s="680"/>
      <c r="N185" s="680"/>
      <c r="O185" s="680"/>
      <c r="P185" s="680"/>
    </row>
    <row r="186" spans="1:16" ht="15" customHeight="1">
      <c r="D186" s="680"/>
      <c r="E186" s="680"/>
      <c r="F186" s="680"/>
      <c r="G186" s="680"/>
      <c r="H186" s="680"/>
      <c r="I186" s="680"/>
      <c r="J186" s="680"/>
      <c r="K186" s="680"/>
      <c r="L186" s="680"/>
      <c r="M186" s="680"/>
      <c r="N186" s="680"/>
      <c r="O186" s="680"/>
      <c r="P186" s="680"/>
    </row>
    <row r="187" spans="1:16" ht="15" customHeight="1">
      <c r="D187" s="680"/>
      <c r="E187" s="680"/>
      <c r="F187" s="680"/>
      <c r="G187" s="680"/>
      <c r="H187" s="680"/>
      <c r="I187" s="680"/>
      <c r="J187" s="680"/>
      <c r="K187" s="680"/>
      <c r="L187" s="680"/>
      <c r="M187" s="680"/>
      <c r="N187" s="680"/>
      <c r="O187" s="680"/>
      <c r="P187" s="680"/>
    </row>
    <row r="188" spans="1:16" ht="15" customHeight="1">
      <c r="D188" s="680"/>
      <c r="E188" s="680"/>
      <c r="F188" s="680"/>
      <c r="G188" s="680"/>
      <c r="H188" s="680"/>
      <c r="I188" s="680"/>
      <c r="J188" s="680"/>
      <c r="K188" s="680"/>
      <c r="L188" s="680"/>
      <c r="M188" s="680"/>
      <c r="N188" s="680"/>
      <c r="O188" s="680"/>
      <c r="P188" s="680"/>
    </row>
    <row r="189" spans="1:16" ht="15" customHeight="1">
      <c r="D189" s="680"/>
      <c r="F189" s="679"/>
      <c r="G189" s="679"/>
      <c r="K189" s="680"/>
      <c r="L189" s="679"/>
      <c r="M189" s="679"/>
    </row>
    <row r="190" spans="1:16" ht="15" customHeight="1">
      <c r="D190" s="680"/>
      <c r="F190" s="679"/>
      <c r="G190" s="679"/>
      <c r="K190" s="680"/>
      <c r="L190" s="679"/>
      <c r="M190" s="679"/>
    </row>
    <row r="191" spans="1:16" ht="15" customHeight="1">
      <c r="D191" s="680"/>
      <c r="F191" s="679"/>
      <c r="G191" s="679"/>
      <c r="K191" s="680"/>
      <c r="L191" s="679"/>
      <c r="M191" s="679"/>
    </row>
    <row r="192" spans="1:16" ht="15" customHeight="1">
      <c r="D192" s="680"/>
      <c r="F192" s="679"/>
      <c r="G192" s="679"/>
      <c r="K192" s="680"/>
      <c r="L192" s="679"/>
      <c r="M192" s="679"/>
    </row>
    <row r="193" spans="4:13" ht="15" customHeight="1">
      <c r="D193" s="680"/>
      <c r="F193" s="679"/>
      <c r="G193" s="679"/>
      <c r="K193" s="680"/>
      <c r="L193" s="679"/>
      <c r="M193" s="679"/>
    </row>
    <row r="194" spans="4:13" ht="15" customHeight="1">
      <c r="D194" s="680"/>
      <c r="F194" s="679"/>
      <c r="G194" s="679"/>
      <c r="K194" s="680"/>
      <c r="L194" s="679"/>
      <c r="M194" s="679"/>
    </row>
    <row r="195" spans="4:13" ht="15" customHeight="1">
      <c r="D195" s="680"/>
      <c r="F195" s="679"/>
      <c r="G195" s="679"/>
      <c r="K195" s="680"/>
      <c r="L195" s="679"/>
      <c r="M195" s="679"/>
    </row>
    <row r="196" spans="4:13" ht="15" customHeight="1">
      <c r="D196" s="680"/>
      <c r="F196" s="679"/>
      <c r="G196" s="679"/>
      <c r="K196" s="680"/>
      <c r="L196" s="679"/>
      <c r="M196" s="679"/>
    </row>
    <row r="197" spans="4:13" ht="15" customHeight="1">
      <c r="D197" s="680"/>
      <c r="F197" s="679"/>
      <c r="G197" s="679"/>
      <c r="K197" s="680"/>
      <c r="L197" s="679"/>
      <c r="M197" s="679"/>
    </row>
    <row r="198" spans="4:13" ht="15" customHeight="1">
      <c r="D198" s="680"/>
      <c r="F198" s="679"/>
      <c r="G198" s="679"/>
      <c r="K198" s="680"/>
      <c r="L198" s="679"/>
      <c r="M198" s="679"/>
    </row>
    <row r="199" spans="4:13" ht="15" customHeight="1">
      <c r="D199" s="680"/>
      <c r="F199" s="679"/>
      <c r="G199" s="679"/>
      <c r="K199" s="680"/>
      <c r="L199" s="679"/>
      <c r="M199" s="679"/>
    </row>
    <row r="200" spans="4:13" ht="15" customHeight="1">
      <c r="D200" s="680"/>
      <c r="F200" s="679"/>
      <c r="G200" s="679"/>
      <c r="K200" s="680"/>
      <c r="L200" s="679"/>
      <c r="M200" s="679"/>
    </row>
    <row r="201" spans="4:13" ht="15" customHeight="1">
      <c r="D201" s="680"/>
      <c r="F201" s="679"/>
      <c r="G201" s="679"/>
      <c r="K201" s="680"/>
      <c r="L201" s="679"/>
      <c r="M201" s="679"/>
    </row>
    <row r="202" spans="4:13" ht="15" customHeight="1">
      <c r="D202" s="680"/>
      <c r="F202" s="679"/>
      <c r="G202" s="679"/>
      <c r="K202" s="680"/>
      <c r="L202" s="679"/>
      <c r="M202" s="679"/>
    </row>
    <row r="203" spans="4:13" ht="15" customHeight="1">
      <c r="D203" s="680"/>
      <c r="F203" s="679"/>
      <c r="G203" s="679"/>
      <c r="K203" s="680"/>
      <c r="L203" s="679"/>
      <c r="M203" s="679"/>
    </row>
    <row r="204" spans="4:13" ht="15" customHeight="1">
      <c r="D204" s="680"/>
      <c r="F204" s="679"/>
      <c r="G204" s="679"/>
      <c r="K204" s="680"/>
      <c r="L204" s="679"/>
      <c r="M204" s="679"/>
    </row>
    <row r="205" spans="4:13" ht="15" customHeight="1">
      <c r="D205" s="680"/>
      <c r="F205" s="679"/>
      <c r="G205" s="679"/>
      <c r="K205" s="680"/>
      <c r="L205" s="679"/>
      <c r="M205" s="679"/>
    </row>
    <row r="206" spans="4:13" ht="15" customHeight="1">
      <c r="D206" s="680"/>
      <c r="F206" s="679"/>
      <c r="G206" s="679"/>
      <c r="K206" s="680"/>
      <c r="L206" s="679"/>
      <c r="M206" s="679"/>
    </row>
    <row r="207" spans="4:13" ht="15" customHeight="1">
      <c r="D207" s="680"/>
      <c r="F207" s="679"/>
      <c r="G207" s="679"/>
      <c r="K207" s="680"/>
      <c r="L207" s="679"/>
      <c r="M207" s="679"/>
    </row>
    <row r="208" spans="4:13" ht="15" customHeight="1">
      <c r="D208" s="680"/>
      <c r="F208" s="679"/>
      <c r="G208" s="679"/>
      <c r="K208" s="680"/>
      <c r="L208" s="679"/>
      <c r="M208" s="679"/>
    </row>
    <row r="209" spans="4:13" ht="15" customHeight="1">
      <c r="D209" s="680"/>
      <c r="F209" s="679"/>
      <c r="G209" s="679"/>
      <c r="L209" s="679"/>
      <c r="M209" s="679"/>
    </row>
    <row r="210" spans="4:13" ht="15" customHeight="1">
      <c r="D210" s="680"/>
      <c r="F210" s="679"/>
      <c r="G210" s="679"/>
      <c r="L210" s="679"/>
      <c r="M210" s="679"/>
    </row>
    <row r="211" spans="4:13" ht="15" customHeight="1">
      <c r="D211" s="680"/>
      <c r="F211" s="679"/>
      <c r="G211" s="679"/>
      <c r="L211" s="679"/>
      <c r="M211" s="679"/>
    </row>
    <row r="212" spans="4:13" ht="15" customHeight="1">
      <c r="D212" s="680"/>
      <c r="F212" s="679"/>
      <c r="G212" s="679"/>
      <c r="L212" s="679"/>
      <c r="M212" s="679"/>
    </row>
    <row r="213" spans="4:13" ht="15" customHeight="1">
      <c r="D213" s="680"/>
      <c r="F213" s="679"/>
      <c r="G213" s="679"/>
      <c r="L213" s="679"/>
      <c r="M213" s="679"/>
    </row>
    <row r="214" spans="4:13" ht="15" customHeight="1">
      <c r="D214" s="680"/>
      <c r="F214" s="679"/>
      <c r="G214" s="679"/>
      <c r="L214" s="679"/>
      <c r="M214" s="679"/>
    </row>
    <row r="215" spans="4:13" ht="15" customHeight="1">
      <c r="F215" s="679"/>
      <c r="G215" s="679"/>
      <c r="L215" s="679"/>
      <c r="M215" s="679"/>
    </row>
    <row r="216" spans="4:13" ht="15" customHeight="1">
      <c r="F216" s="679"/>
      <c r="G216" s="679"/>
      <c r="L216" s="679"/>
      <c r="M216" s="679"/>
    </row>
    <row r="217" spans="4:13" ht="15" customHeight="1">
      <c r="F217" s="679"/>
      <c r="G217" s="679"/>
      <c r="L217" s="679"/>
      <c r="M217" s="679"/>
    </row>
    <row r="218" spans="4:13" ht="15" customHeight="1">
      <c r="F218" s="679"/>
      <c r="G218" s="679"/>
      <c r="L218" s="679"/>
      <c r="M218" s="679"/>
    </row>
    <row r="219" spans="4:13" ht="15" customHeight="1">
      <c r="F219" s="679"/>
      <c r="G219" s="679"/>
      <c r="L219" s="679"/>
      <c r="M219" s="679"/>
    </row>
    <row r="220" spans="4:13" ht="15" customHeight="1">
      <c r="F220" s="679"/>
      <c r="G220" s="679"/>
      <c r="L220" s="679"/>
      <c r="M220" s="679"/>
    </row>
    <row r="221" spans="4:13" ht="15" customHeight="1">
      <c r="F221" s="679"/>
      <c r="G221" s="679"/>
      <c r="L221" s="679"/>
      <c r="M221" s="679"/>
    </row>
    <row r="222" spans="4:13" ht="15" customHeight="1">
      <c r="F222" s="679"/>
      <c r="G222" s="679"/>
      <c r="L222" s="679"/>
      <c r="M222" s="679"/>
    </row>
    <row r="223" spans="4:13" ht="15" customHeight="1">
      <c r="F223" s="679"/>
      <c r="G223" s="679"/>
      <c r="L223" s="679"/>
      <c r="M223" s="679"/>
    </row>
    <row r="224" spans="4:13" ht="15" customHeight="1">
      <c r="F224" s="679"/>
      <c r="G224" s="679"/>
      <c r="L224" s="679"/>
      <c r="M224" s="679"/>
    </row>
    <row r="225" spans="6:13" ht="15" customHeight="1">
      <c r="F225" s="679"/>
      <c r="G225" s="679"/>
      <c r="L225" s="679"/>
      <c r="M225" s="679"/>
    </row>
    <row r="226" spans="6:13" ht="15" customHeight="1">
      <c r="F226" s="679"/>
      <c r="G226" s="679"/>
      <c r="L226" s="679"/>
      <c r="M226" s="679"/>
    </row>
    <row r="227" spans="6:13" ht="15" customHeight="1">
      <c r="F227" s="679"/>
      <c r="G227" s="679"/>
      <c r="L227" s="679"/>
      <c r="M227" s="679"/>
    </row>
    <row r="228" spans="6:13" ht="15" customHeight="1">
      <c r="F228" s="679"/>
      <c r="G228" s="679"/>
      <c r="L228" s="679"/>
      <c r="M228" s="679"/>
    </row>
    <row r="229" spans="6:13" ht="15" customHeight="1">
      <c r="F229" s="679"/>
      <c r="G229" s="679"/>
      <c r="L229" s="679"/>
      <c r="M229" s="679"/>
    </row>
    <row r="230" spans="6:13" ht="15" customHeight="1">
      <c r="F230" s="679"/>
      <c r="G230" s="679"/>
      <c r="L230" s="679"/>
      <c r="M230" s="679"/>
    </row>
    <row r="231" spans="6:13" ht="15" customHeight="1">
      <c r="F231" s="679"/>
      <c r="G231" s="679"/>
      <c r="L231" s="679"/>
      <c r="M231" s="679"/>
    </row>
    <row r="232" spans="6:13" ht="15" customHeight="1">
      <c r="F232" s="679"/>
      <c r="G232" s="679"/>
      <c r="L232" s="679"/>
      <c r="M232" s="679"/>
    </row>
    <row r="233" spans="6:13" ht="15" customHeight="1">
      <c r="F233" s="679"/>
      <c r="G233" s="679"/>
      <c r="L233" s="679"/>
      <c r="M233" s="679"/>
    </row>
    <row r="234" spans="6:13" ht="15" customHeight="1">
      <c r="F234" s="679"/>
      <c r="G234" s="679"/>
      <c r="L234" s="679"/>
      <c r="M234" s="679"/>
    </row>
    <row r="235" spans="6:13" ht="15" customHeight="1">
      <c r="F235" s="679"/>
      <c r="G235" s="679"/>
      <c r="L235" s="679"/>
      <c r="M235" s="679"/>
    </row>
    <row r="236" spans="6:13" ht="15" customHeight="1">
      <c r="F236" s="679"/>
      <c r="G236" s="679"/>
      <c r="L236" s="679"/>
      <c r="M236" s="679"/>
    </row>
    <row r="237" spans="6:13" ht="15" customHeight="1">
      <c r="F237" s="679"/>
      <c r="G237" s="679"/>
      <c r="L237" s="679"/>
      <c r="M237" s="679"/>
    </row>
    <row r="238" spans="6:13" ht="15" customHeight="1">
      <c r="F238" s="679"/>
      <c r="G238" s="679"/>
      <c r="L238" s="679"/>
      <c r="M238" s="679"/>
    </row>
    <row r="239" spans="6:13" ht="15" customHeight="1">
      <c r="F239" s="679"/>
      <c r="G239" s="679"/>
      <c r="L239" s="679"/>
      <c r="M239" s="679"/>
    </row>
    <row r="240" spans="6:13" ht="15" customHeight="1">
      <c r="F240" s="679"/>
      <c r="G240" s="679"/>
      <c r="L240" s="679"/>
      <c r="M240" s="679"/>
    </row>
    <row r="241" spans="6:13" ht="15" customHeight="1">
      <c r="F241" s="679"/>
      <c r="G241" s="679"/>
      <c r="L241" s="679"/>
      <c r="M241" s="679"/>
    </row>
    <row r="242" spans="6:13" ht="15" customHeight="1">
      <c r="F242" s="679"/>
      <c r="G242" s="679"/>
      <c r="L242" s="679"/>
      <c r="M242" s="679"/>
    </row>
    <row r="243" spans="6:13" ht="15" customHeight="1">
      <c r="F243" s="679"/>
      <c r="G243" s="679"/>
      <c r="L243" s="679"/>
      <c r="M243" s="679"/>
    </row>
    <row r="244" spans="6:13" ht="15" customHeight="1">
      <c r="F244" s="679"/>
      <c r="G244" s="679"/>
      <c r="L244" s="679"/>
      <c r="M244" s="679"/>
    </row>
    <row r="245" spans="6:13" ht="15" customHeight="1">
      <c r="F245" s="679"/>
      <c r="G245" s="679"/>
      <c r="L245" s="679"/>
      <c r="M245" s="679"/>
    </row>
    <row r="246" spans="6:13" ht="15" customHeight="1">
      <c r="F246" s="679"/>
      <c r="G246" s="679"/>
      <c r="L246" s="679"/>
      <c r="M246" s="679"/>
    </row>
    <row r="247" spans="6:13" ht="15" customHeight="1">
      <c r="F247" s="679"/>
      <c r="G247" s="679"/>
      <c r="L247" s="679"/>
      <c r="M247" s="679"/>
    </row>
    <row r="248" spans="6:13" ht="15" customHeight="1">
      <c r="F248" s="679"/>
      <c r="G248" s="679"/>
      <c r="L248" s="679"/>
      <c r="M248" s="679"/>
    </row>
    <row r="249" spans="6:13" ht="15" customHeight="1">
      <c r="F249" s="679"/>
      <c r="G249" s="679"/>
      <c r="L249" s="679"/>
      <c r="M249" s="679"/>
    </row>
    <row r="250" spans="6:13" ht="15" customHeight="1">
      <c r="F250" s="679"/>
      <c r="G250" s="679"/>
      <c r="L250" s="679"/>
      <c r="M250" s="679"/>
    </row>
    <row r="251" spans="6:13" ht="15" customHeight="1">
      <c r="F251" s="679"/>
      <c r="G251" s="679"/>
      <c r="L251" s="679"/>
      <c r="M251" s="679"/>
    </row>
    <row r="252" spans="6:13" ht="15" customHeight="1">
      <c r="F252" s="679"/>
      <c r="G252" s="679"/>
      <c r="L252" s="679"/>
      <c r="M252" s="679"/>
    </row>
    <row r="253" spans="6:13" ht="15" customHeight="1">
      <c r="F253" s="679"/>
      <c r="G253" s="679"/>
      <c r="L253" s="679"/>
      <c r="M253" s="679"/>
    </row>
    <row r="254" spans="6:13" ht="15" customHeight="1">
      <c r="F254" s="679"/>
      <c r="G254" s="679"/>
      <c r="L254" s="679"/>
      <c r="M254" s="679"/>
    </row>
    <row r="255" spans="6:13" ht="15" customHeight="1">
      <c r="F255" s="679"/>
      <c r="G255" s="679"/>
      <c r="L255" s="679"/>
      <c r="M255" s="679"/>
    </row>
    <row r="256" spans="6:13" ht="15" customHeight="1">
      <c r="F256" s="679"/>
      <c r="G256" s="679"/>
      <c r="L256" s="679"/>
      <c r="M256" s="679"/>
    </row>
    <row r="257" spans="6:13" ht="15" customHeight="1">
      <c r="F257" s="679"/>
      <c r="G257" s="679"/>
      <c r="L257" s="679"/>
      <c r="M257" s="679"/>
    </row>
    <row r="258" spans="6:13" ht="15" customHeight="1">
      <c r="F258" s="679"/>
      <c r="G258" s="679"/>
      <c r="L258" s="679"/>
      <c r="M258" s="679"/>
    </row>
    <row r="259" spans="6:13" ht="15" customHeight="1">
      <c r="F259" s="679"/>
      <c r="G259" s="679"/>
      <c r="L259" s="679"/>
      <c r="M259" s="679"/>
    </row>
    <row r="260" spans="6:13" ht="15" customHeight="1">
      <c r="L260" s="679"/>
      <c r="M260" s="679"/>
    </row>
    <row r="261" spans="6:13" ht="15" customHeight="1">
      <c r="L261" s="679"/>
      <c r="M261" s="679"/>
    </row>
    <row r="262" spans="6:13" ht="15" customHeight="1">
      <c r="L262" s="679"/>
      <c r="M262" s="679"/>
    </row>
    <row r="263" spans="6:13" ht="15" customHeight="1">
      <c r="L263" s="679"/>
      <c r="M263" s="679"/>
    </row>
    <row r="264" spans="6:13" ht="15" customHeight="1">
      <c r="L264" s="679"/>
      <c r="M264" s="679"/>
    </row>
  </sheetData>
  <mergeCells count="1">
    <mergeCell ref="A9:L9"/>
  </mergeCells>
  <conditionalFormatting sqref="B11:L12">
    <cfRule type="cellIs" dxfId="25" priority="59" operator="equal">
      <formula>0</formula>
    </cfRule>
  </conditionalFormatting>
  <conditionalFormatting sqref="D70:D94">
    <cfRule type="cellIs" dxfId="24" priority="3" operator="equal">
      <formula>0</formula>
    </cfRule>
  </conditionalFormatting>
  <conditionalFormatting sqref="D102:D143">
    <cfRule type="cellIs" dxfId="23" priority="2" operator="equal">
      <formula>0</formula>
    </cfRule>
  </conditionalFormatting>
  <conditionalFormatting sqref="D97:E101">
    <cfRule type="cellIs" dxfId="22" priority="37" operator="equal">
      <formula>0</formula>
    </cfRule>
  </conditionalFormatting>
  <conditionalFormatting sqref="D153:P157">
    <cfRule type="cellIs" dxfId="21" priority="5" operator="equal">
      <formula>0</formula>
    </cfRule>
  </conditionalFormatting>
  <conditionalFormatting sqref="D18:Q35">
    <cfRule type="cellIs" dxfId="20" priority="19" operator="equal">
      <formula>0</formula>
    </cfRule>
  </conditionalFormatting>
  <conditionalFormatting sqref="D38:Q43 D46:Q51 D160:Q161 D172:Q174">
    <cfRule type="cellIs" dxfId="19" priority="27" operator="equal">
      <formula>0</formula>
    </cfRule>
  </conditionalFormatting>
  <conditionalFormatting sqref="D146:Q150">
    <cfRule type="cellIs" dxfId="18" priority="7" operator="equal">
      <formula>0</formula>
    </cfRule>
  </conditionalFormatting>
  <conditionalFormatting sqref="D163:Q169">
    <cfRule type="cellIs" dxfId="17" priority="1" operator="equal">
      <formula>0</formula>
    </cfRule>
  </conditionalFormatting>
  <conditionalFormatting sqref="E70:E86">
    <cfRule type="cellIs" dxfId="16" priority="17" operator="equal">
      <formula>0</formula>
    </cfRule>
  </conditionalFormatting>
  <conditionalFormatting sqref="E118:Q121">
    <cfRule type="cellIs" dxfId="15" priority="15" operator="equal">
      <formula>0</formula>
    </cfRule>
  </conditionalFormatting>
  <conditionalFormatting sqref="F54:Q86 E87:Q94">
    <cfRule type="cellIs" dxfId="14" priority="18" operator="equal">
      <formula>0</formula>
    </cfRule>
  </conditionalFormatting>
  <conditionalFormatting sqref="F97:Q117">
    <cfRule type="cellIs" dxfId="13" priority="54" operator="equal">
      <formula>0</formula>
    </cfRule>
  </conditionalFormatting>
  <conditionalFormatting sqref="M11:M12">
    <cfRule type="cellIs" dxfId="12" priority="57" stopIfTrue="1" operator="notEqual">
      <formula>L11</formula>
    </cfRule>
  </conditionalFormatting>
  <conditionalFormatting sqref="Q122:Q128 E122:P143">
    <cfRule type="cellIs" dxfId="11" priority="13" operator="equal">
      <formula>0</formula>
    </cfRule>
  </conditionalFormatting>
  <conditionalFormatting sqref="Q153:Q155">
    <cfRule type="cellIs" dxfId="10" priority="45" operator="equal">
      <formula>0</formula>
    </cfRule>
  </conditionalFormatting>
  <conditionalFormatting sqref="W18:AH21">
    <cfRule type="cellIs" dxfId="9" priority="48" operator="equal">
      <formula>0</formula>
    </cfRule>
  </conditionalFormatting>
  <conditionalFormatting sqref="W23:AH23 W29:AH32 W44:AI49 W73:AI79 W81:AH83">
    <cfRule type="cellIs" dxfId="8" priority="50" operator="equal">
      <formula>0</formula>
    </cfRule>
  </conditionalFormatting>
  <conditionalFormatting sqref="W25:AH27 AI29:AI31 D54:E69 E102:E117 W119:W130 D158:Q158 E176:P177 D176:D214 F178:P178 E179:P188 K189:K208">
    <cfRule type="cellIs" dxfId="7" priority="60" operator="equal">
      <formula>0</formula>
    </cfRule>
  </conditionalFormatting>
  <conditionalFormatting sqref="W34:AI42">
    <cfRule type="cellIs" dxfId="6" priority="46" operator="equal">
      <formula>0</formula>
    </cfRule>
  </conditionalFormatting>
  <conditionalFormatting sqref="W51:AI67">
    <cfRule type="cellIs" dxfId="5" priority="33" operator="equal">
      <formula>0</formula>
    </cfRule>
  </conditionalFormatting>
  <conditionalFormatting sqref="W69:AI71">
    <cfRule type="cellIs" dxfId="4" priority="49" operator="equal">
      <formula>0</formula>
    </cfRule>
  </conditionalFormatting>
  <conditionalFormatting sqref="AI18:AI20 AI25:AI26 AI81:AI84">
    <cfRule type="cellIs" dxfId="3" priority="51" operator="equal">
      <formula>0</formula>
    </cfRule>
  </conditionalFormatting>
  <conditionalFormatting sqref="AN18:AN20 AN26:AN29 AN32:AN34 AN38:AN43 AN46:AN50 AN53:AN67 AN75:AN79">
    <cfRule type="cellIs" dxfId="2" priority="24" operator="equal">
      <formula>0</formula>
    </cfRule>
  </conditionalFormatting>
  <conditionalFormatting sqref="AN70:AN72">
    <cfRule type="cellIs" dxfId="1" priority="23" operator="equal">
      <formula>0</formula>
    </cfRule>
  </conditionalFormatting>
  <conditionalFormatting sqref="AN82:AN85">
    <cfRule type="cellIs" dxfId="0" priority="22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8">
    <tabColor rgb="FFFFC000"/>
  </sheetPr>
  <dimension ref="A1:AN150"/>
  <sheetViews>
    <sheetView topLeftCell="A40" zoomScale="70" zoomScaleNormal="70" workbookViewId="0">
      <selection activeCell="H81" sqref="H81"/>
    </sheetView>
  </sheetViews>
  <sheetFormatPr baseColWidth="10" defaultColWidth="9.1796875" defaultRowHeight="12.5"/>
  <cols>
    <col min="1" max="1" width="3.7265625" customWidth="1"/>
    <col min="2" max="2" width="50.81640625" customWidth="1"/>
    <col min="3" max="3" width="16.81640625" customWidth="1"/>
    <col min="4" max="4" width="24.54296875" customWidth="1"/>
    <col min="5" max="5" width="14.1796875" customWidth="1"/>
    <col min="6" max="6" width="14.453125" customWidth="1"/>
    <col min="7" max="7" width="14.1796875" customWidth="1"/>
    <col min="8" max="8" width="13.7265625" customWidth="1"/>
    <col min="9" max="9" width="18.54296875" customWidth="1"/>
    <col min="10" max="14" width="13" customWidth="1"/>
    <col min="15" max="15" width="2.26953125" customWidth="1"/>
    <col min="16" max="16" width="2.453125" customWidth="1"/>
    <col min="17" max="17" width="16.7265625" customWidth="1"/>
    <col min="18" max="18" width="14.1796875" customWidth="1"/>
    <col min="19" max="19" width="12.81640625" customWidth="1"/>
    <col min="20" max="20" width="13" customWidth="1"/>
    <col min="21" max="21" width="13.81640625" customWidth="1"/>
    <col min="22" max="23" width="11.26953125" customWidth="1"/>
    <col min="24" max="24" width="11.453125" customWidth="1"/>
    <col min="25" max="25" width="14" customWidth="1"/>
    <col min="26" max="26" width="11" customWidth="1"/>
    <col min="27" max="27" width="11.26953125" customWidth="1"/>
    <col min="28" max="29" width="2.81640625" customWidth="1"/>
    <col min="30" max="30" width="13.81640625" customWidth="1"/>
    <col min="31" max="31" width="14.1796875" customWidth="1"/>
    <col min="32" max="32" width="20.26953125" customWidth="1"/>
    <col min="33" max="33" width="11.26953125" customWidth="1"/>
    <col min="34" max="34" width="20.54296875" customWidth="1"/>
    <col min="35" max="35" width="17.81640625" customWidth="1"/>
    <col min="36" max="40" width="11.26953125" customWidth="1"/>
  </cols>
  <sheetData>
    <row r="1" spans="2:35" ht="13">
      <c r="I1" s="1"/>
    </row>
    <row r="3" spans="2:35" ht="13">
      <c r="B3" s="974" t="s">
        <v>35</v>
      </c>
      <c r="C3" s="974"/>
      <c r="D3" s="974"/>
      <c r="E3" s="974"/>
      <c r="F3" s="974"/>
      <c r="G3" s="974"/>
      <c r="H3" s="974"/>
      <c r="I3" s="974"/>
    </row>
    <row r="4" spans="2:35" ht="13">
      <c r="B4" s="974" t="s">
        <v>36</v>
      </c>
      <c r="C4" s="974"/>
      <c r="D4" s="974"/>
      <c r="E4" s="974"/>
      <c r="F4" s="974"/>
      <c r="G4" s="974"/>
      <c r="H4" s="974"/>
      <c r="I4" s="974"/>
    </row>
    <row r="5" spans="2:35" ht="18">
      <c r="B5" s="974" t="s">
        <v>93</v>
      </c>
      <c r="C5" s="974"/>
      <c r="D5" s="974"/>
      <c r="E5" s="974"/>
      <c r="F5" s="974"/>
      <c r="G5" s="974"/>
      <c r="H5" s="974"/>
      <c r="I5" s="974"/>
      <c r="Q5" s="1023" t="s">
        <v>291</v>
      </c>
      <c r="R5" s="1023"/>
      <c r="S5" s="1023"/>
      <c r="T5" s="1023"/>
      <c r="U5" s="1023"/>
      <c r="V5" s="1023"/>
      <c r="AD5" s="1023" t="s">
        <v>292</v>
      </c>
      <c r="AE5" s="1023"/>
      <c r="AF5" s="1023"/>
      <c r="AG5" s="1023"/>
      <c r="AH5" s="1023"/>
      <c r="AI5" s="1023"/>
    </row>
    <row r="6" spans="2:35" ht="13.5" thickBot="1">
      <c r="B6" s="4"/>
      <c r="C6" s="5"/>
      <c r="D6" s="5"/>
      <c r="E6" s="5"/>
      <c r="F6" s="5"/>
      <c r="G6" s="5"/>
      <c r="H6" s="5"/>
      <c r="I6" s="5"/>
    </row>
    <row r="7" spans="2:35" ht="13">
      <c r="B7" s="6" t="s">
        <v>37</v>
      </c>
      <c r="C7" s="7" t="s">
        <v>38</v>
      </c>
      <c r="D7" s="7">
        <v>2020</v>
      </c>
      <c r="E7" s="7">
        <v>2021</v>
      </c>
      <c r="F7" s="7">
        <v>2022</v>
      </c>
      <c r="G7" s="7">
        <v>2023</v>
      </c>
      <c r="H7" s="7">
        <v>2024</v>
      </c>
      <c r="I7" s="7">
        <v>2025</v>
      </c>
      <c r="Q7" s="7">
        <v>2020</v>
      </c>
      <c r="R7" s="7">
        <v>2021</v>
      </c>
      <c r="S7" s="7">
        <v>2022</v>
      </c>
      <c r="T7" s="7">
        <v>2023</v>
      </c>
      <c r="U7" s="7">
        <v>2024</v>
      </c>
      <c r="V7" s="7">
        <v>2025</v>
      </c>
      <c r="AD7" s="7">
        <v>2012</v>
      </c>
      <c r="AE7" s="7">
        <v>2013</v>
      </c>
      <c r="AF7" s="7">
        <v>2014</v>
      </c>
      <c r="AG7" s="7">
        <v>2015</v>
      </c>
      <c r="AH7" s="7">
        <v>2016</v>
      </c>
      <c r="AI7" s="8">
        <v>2017</v>
      </c>
    </row>
    <row r="8" spans="2:35" ht="15.5">
      <c r="B8" s="97" t="s">
        <v>39</v>
      </c>
      <c r="C8" s="98" t="s">
        <v>40</v>
      </c>
      <c r="D8" s="99"/>
      <c r="E8" s="99">
        <v>1.8700000000000001E-2</v>
      </c>
      <c r="F8" s="99">
        <v>1.8700000000000001E-2</v>
      </c>
      <c r="G8" s="99">
        <v>1.8700000000000001E-2</v>
      </c>
      <c r="H8" s="99">
        <v>1.8700000000000001E-2</v>
      </c>
      <c r="I8" s="100">
        <v>1.8700000000000001E-2</v>
      </c>
      <c r="J8" s="101"/>
      <c r="M8" s="9"/>
      <c r="Q8" s="99"/>
      <c r="R8" s="99">
        <v>2.0299999999999999E-2</v>
      </c>
      <c r="S8" s="99">
        <v>2.0299999999999999E-2</v>
      </c>
      <c r="T8" s="99">
        <v>2.0299999999999999E-2</v>
      </c>
      <c r="U8" s="99">
        <v>2.0299999999999999E-2</v>
      </c>
      <c r="V8" s="100">
        <v>2.0299999999999999E-2</v>
      </c>
      <c r="AD8" s="99"/>
      <c r="AE8" s="99">
        <v>2.0299999999999999E-2</v>
      </c>
      <c r="AF8" s="99">
        <v>2.0299999999999999E-2</v>
      </c>
      <c r="AG8" s="99">
        <v>2.0299999999999999E-2</v>
      </c>
      <c r="AH8" s="99">
        <v>2.0299999999999999E-2</v>
      </c>
      <c r="AI8" s="100">
        <v>2.0299999999999999E-2</v>
      </c>
    </row>
    <row r="9" spans="2:35">
      <c r="B9" s="102" t="s">
        <v>41</v>
      </c>
      <c r="C9" s="103" t="s">
        <v>40</v>
      </c>
      <c r="D9" s="104"/>
      <c r="E9" s="104">
        <v>1.32E-2</v>
      </c>
      <c r="F9" s="104">
        <v>1.32E-2</v>
      </c>
      <c r="G9" s="104">
        <v>1.32E-2</v>
      </c>
      <c r="H9" s="104">
        <v>1.32E-2</v>
      </c>
      <c r="I9" s="105">
        <v>1.32E-2</v>
      </c>
      <c r="J9" s="101"/>
      <c r="Q9" s="104"/>
      <c r="R9" s="104">
        <v>7.7999999999999996E-3</v>
      </c>
      <c r="S9" s="104">
        <v>7.7999999999999996E-3</v>
      </c>
      <c r="T9" s="104">
        <v>7.7999999999999996E-3</v>
      </c>
      <c r="U9" s="104">
        <v>7.7999999999999996E-3</v>
      </c>
      <c r="V9" s="105">
        <v>7.7999999999999996E-3</v>
      </c>
      <c r="AD9" s="104"/>
      <c r="AE9" s="104">
        <v>7.7999999999999996E-3</v>
      </c>
      <c r="AF9" s="104">
        <v>7.7999999999999996E-3</v>
      </c>
      <c r="AG9" s="104">
        <v>7.7999999999999996E-3</v>
      </c>
      <c r="AH9" s="104">
        <v>7.7999999999999996E-3</v>
      </c>
      <c r="AI9" s="105">
        <v>7.7999999999999996E-3</v>
      </c>
    </row>
    <row r="10" spans="2:35">
      <c r="B10" s="102" t="s">
        <v>233</v>
      </c>
      <c r="C10" s="103" t="s">
        <v>40</v>
      </c>
      <c r="D10" s="104">
        <v>3.3385882564188139E-2</v>
      </c>
      <c r="E10" s="104"/>
      <c r="F10" s="104"/>
      <c r="G10" s="104"/>
      <c r="H10" s="104"/>
      <c r="I10" s="105"/>
      <c r="J10" s="101"/>
      <c r="Q10" s="104">
        <v>0.03</v>
      </c>
      <c r="R10" s="104"/>
      <c r="S10" s="104"/>
      <c r="T10" s="104"/>
      <c r="U10" s="104"/>
      <c r="V10" s="105"/>
      <c r="AD10" s="104">
        <v>0.03</v>
      </c>
      <c r="AE10" s="104"/>
      <c r="AF10" s="104"/>
      <c r="AG10" s="104"/>
      <c r="AH10" s="104"/>
      <c r="AI10" s="105"/>
    </row>
    <row r="11" spans="2:35">
      <c r="B11" s="106" t="s">
        <v>42</v>
      </c>
      <c r="C11" s="107" t="s">
        <v>40</v>
      </c>
      <c r="D11" s="108">
        <v>6.83E-2</v>
      </c>
      <c r="E11" s="109"/>
      <c r="F11" s="109"/>
      <c r="G11" s="109"/>
      <c r="H11" s="109"/>
      <c r="I11" s="110"/>
      <c r="J11" s="397"/>
      <c r="Q11" s="108">
        <v>7.9000000000000001E-2</v>
      </c>
      <c r="R11" s="109"/>
      <c r="S11" s="109"/>
      <c r="T11" s="109"/>
      <c r="U11" s="109"/>
      <c r="V11" s="110"/>
      <c r="AD11" s="108">
        <v>7.9000000000000001E-2</v>
      </c>
      <c r="AE11" s="109"/>
      <c r="AF11" s="109"/>
      <c r="AG11" s="109"/>
      <c r="AH11" s="109"/>
      <c r="AI11" s="110"/>
    </row>
    <row r="12" spans="2:35" ht="13.5" customHeight="1">
      <c r="B12" s="10" t="s">
        <v>43</v>
      </c>
      <c r="C12" s="98"/>
      <c r="D12" s="111"/>
      <c r="E12" s="112"/>
      <c r="F12" s="113"/>
      <c r="G12" s="112"/>
      <c r="H12" s="114"/>
      <c r="I12" s="115"/>
      <c r="Q12" s="493"/>
      <c r="R12" s="112"/>
      <c r="S12" s="113"/>
      <c r="T12" s="112"/>
      <c r="U12" s="114"/>
      <c r="V12" s="115"/>
      <c r="AD12" s="493"/>
      <c r="AE12" s="112"/>
      <c r="AF12" s="113"/>
      <c r="AG12" s="112"/>
      <c r="AH12" s="114"/>
      <c r="AI12" s="115"/>
    </row>
    <row r="13" spans="2:35">
      <c r="B13" s="102" t="s">
        <v>234</v>
      </c>
      <c r="C13" s="103" t="s">
        <v>45</v>
      </c>
      <c r="D13" s="398">
        <f>+[25]ACTIVOS!C31+[25]ACTIVOS!C214</f>
        <v>364992.40393933386</v>
      </c>
      <c r="E13" s="399">
        <f>+[25]ACTIVOS!D31+[25]ACTIVOS!D214</f>
        <v>368871.18749933387</v>
      </c>
      <c r="F13" s="398">
        <f>+[25]ACTIVOS!E31+[25]ACTIVOS!E214</f>
        <v>417172.80552941194</v>
      </c>
      <c r="G13" s="399">
        <f>+[25]ACTIVOS!F31+[25]ACTIVOS!F214</f>
        <v>498609.43320328946</v>
      </c>
      <c r="H13" s="399">
        <f>+[25]ACTIVOS!G31+[25]ACTIVOS!G214</f>
        <v>541059.58501959464</v>
      </c>
      <c r="I13" s="400">
        <f>+[25]ACTIVOS!H31+[25]ACTIVOS!H214</f>
        <v>676238.41561731615</v>
      </c>
      <c r="Q13" s="494">
        <v>364992.40393933386</v>
      </c>
      <c r="R13" s="399">
        <v>371913.35220933385</v>
      </c>
      <c r="S13" s="398">
        <v>427771.5223345292</v>
      </c>
      <c r="T13" s="399">
        <v>499609.43320328946</v>
      </c>
      <c r="U13" s="399">
        <v>542059.58501959464</v>
      </c>
      <c r="V13" s="400">
        <v>677238.41561731615</v>
      </c>
      <c r="AD13" s="494">
        <f t="shared" ref="AD13:AI28" si="0">+D13-Q13</f>
        <v>0</v>
      </c>
      <c r="AE13" s="399">
        <f t="shared" si="0"/>
        <v>-3042.1647099999827</v>
      </c>
      <c r="AF13" s="398">
        <f t="shared" si="0"/>
        <v>-10598.716805117263</v>
      </c>
      <c r="AG13" s="399">
        <f t="shared" si="0"/>
        <v>-1000</v>
      </c>
      <c r="AH13" s="399">
        <f t="shared" si="0"/>
        <v>-1000</v>
      </c>
      <c r="AI13" s="400">
        <f t="shared" si="0"/>
        <v>-1000</v>
      </c>
    </row>
    <row r="14" spans="2:35">
      <c r="B14" s="102" t="s">
        <v>235</v>
      </c>
      <c r="C14" s="103"/>
      <c r="D14" s="398">
        <f>+[25]ACTIVOS!C58</f>
        <v>0</v>
      </c>
      <c r="E14" s="399">
        <f>+[25]ACTIVOS!D58</f>
        <v>0</v>
      </c>
      <c r="F14" s="398">
        <f>+[25]ACTIVOS!E58</f>
        <v>0</v>
      </c>
      <c r="G14" s="399">
        <f>+[25]ACTIVOS!F58</f>
        <v>0</v>
      </c>
      <c r="H14" s="399">
        <f>+[25]ACTIVOS!G58</f>
        <v>0</v>
      </c>
      <c r="I14" s="400">
        <f>+[25]ACTIVOS!H58</f>
        <v>285457.82998149999</v>
      </c>
      <c r="Q14" s="494">
        <v>0</v>
      </c>
      <c r="R14" s="399">
        <v>0</v>
      </c>
      <c r="S14" s="398">
        <v>0</v>
      </c>
      <c r="T14" s="399">
        <v>0</v>
      </c>
      <c r="U14" s="399">
        <v>0</v>
      </c>
      <c r="V14" s="400">
        <v>285457.82998149999</v>
      </c>
      <c r="AD14" s="494">
        <f t="shared" si="0"/>
        <v>0</v>
      </c>
      <c r="AE14" s="399">
        <f t="shared" si="0"/>
        <v>0</v>
      </c>
      <c r="AF14" s="398">
        <f t="shared" si="0"/>
        <v>0</v>
      </c>
      <c r="AG14" s="399">
        <f t="shared" si="0"/>
        <v>0</v>
      </c>
      <c r="AH14" s="399">
        <f t="shared" si="0"/>
        <v>0</v>
      </c>
      <c r="AI14" s="400">
        <f t="shared" si="0"/>
        <v>0</v>
      </c>
    </row>
    <row r="15" spans="2:35">
      <c r="B15" s="102" t="s">
        <v>236</v>
      </c>
      <c r="C15" s="103" t="s">
        <v>45</v>
      </c>
      <c r="D15" s="398">
        <f>+[25]ACTIVOS!C114</f>
        <v>21486.153981225449</v>
      </c>
      <c r="E15" s="399">
        <f>+[25]ACTIVOS!D114</f>
        <v>21486.153981225449</v>
      </c>
      <c r="F15" s="398">
        <f>+[25]ACTIVOS!E114</f>
        <v>21486.153981225449</v>
      </c>
      <c r="G15" s="399">
        <f>+[25]ACTIVOS!F114</f>
        <v>37734.153981225449</v>
      </c>
      <c r="H15" s="399">
        <f>+[25]ACTIVOS!G114</f>
        <v>37734.153981225449</v>
      </c>
      <c r="I15" s="400">
        <f>+[25]ACTIVOS!H114</f>
        <v>37734.153981225449</v>
      </c>
      <c r="Q15" s="494">
        <v>21486.153981225449</v>
      </c>
      <c r="R15" s="399">
        <v>29937.153981225449</v>
      </c>
      <c r="S15" s="398">
        <v>37734.153981225449</v>
      </c>
      <c r="T15" s="399">
        <v>37734.153981225449</v>
      </c>
      <c r="U15" s="399">
        <v>37734.153981225449</v>
      </c>
      <c r="V15" s="400">
        <v>37734.153981225449</v>
      </c>
      <c r="AD15" s="494">
        <f t="shared" si="0"/>
        <v>0</v>
      </c>
      <c r="AE15" s="399">
        <f t="shared" si="0"/>
        <v>-8451</v>
      </c>
      <c r="AF15" s="398">
        <f t="shared" si="0"/>
        <v>-16248</v>
      </c>
      <c r="AG15" s="399">
        <f t="shared" si="0"/>
        <v>0</v>
      </c>
      <c r="AH15" s="399">
        <f t="shared" si="0"/>
        <v>0</v>
      </c>
      <c r="AI15" s="400">
        <f t="shared" si="0"/>
        <v>0</v>
      </c>
    </row>
    <row r="16" spans="2:35">
      <c r="B16" s="102" t="s">
        <v>237</v>
      </c>
      <c r="C16" s="103" t="s">
        <v>45</v>
      </c>
      <c r="D16" s="398">
        <f>+[25]ACTIVOS!C143</f>
        <v>2000.9</v>
      </c>
      <c r="E16" s="399">
        <f>+[25]ACTIVOS!D143</f>
        <v>2000.9</v>
      </c>
      <c r="F16" s="398">
        <f>+[25]ACTIVOS!E143</f>
        <v>2000.9</v>
      </c>
      <c r="G16" s="399">
        <f>+[25]ACTIVOS!F143</f>
        <v>2000.9</v>
      </c>
      <c r="H16" s="399">
        <f>+[25]ACTIVOS!G143</f>
        <v>0</v>
      </c>
      <c r="I16" s="400">
        <f>+[25]ACTIVOS!H143</f>
        <v>0</v>
      </c>
      <c r="Q16" s="494">
        <v>2000.9</v>
      </c>
      <c r="R16" s="399">
        <v>2000.9</v>
      </c>
      <c r="S16" s="398">
        <v>2000.9</v>
      </c>
      <c r="T16" s="399">
        <v>2000.9</v>
      </c>
      <c r="U16" s="399">
        <v>0</v>
      </c>
      <c r="V16" s="400">
        <v>0</v>
      </c>
      <c r="AD16" s="494">
        <f t="shared" si="0"/>
        <v>0</v>
      </c>
      <c r="AE16" s="399">
        <f t="shared" si="0"/>
        <v>0</v>
      </c>
      <c r="AF16" s="398">
        <f t="shared" si="0"/>
        <v>0</v>
      </c>
      <c r="AG16" s="399">
        <f t="shared" si="0"/>
        <v>0</v>
      </c>
      <c r="AH16" s="399">
        <f t="shared" si="0"/>
        <v>0</v>
      </c>
      <c r="AI16" s="400">
        <f t="shared" si="0"/>
        <v>0</v>
      </c>
    </row>
    <row r="17" spans="2:35">
      <c r="B17" s="102" t="s">
        <v>94</v>
      </c>
      <c r="C17" s="103" t="s">
        <v>45</v>
      </c>
      <c r="D17" s="398">
        <f>+[25]ACTIVOS!C32+[25]ACTIVOS!C215</f>
        <v>208150.0790332263</v>
      </c>
      <c r="E17" s="399">
        <f>+[25]ACTIVOS!D32+[25]ACTIVOS!D215</f>
        <v>200777.28098557875</v>
      </c>
      <c r="F17" s="398">
        <f>+[25]ACTIVOS!E32+[25]ACTIVOS!E215</f>
        <v>237710.95390120932</v>
      </c>
      <c r="G17" s="399">
        <f>+[25]ACTIVOS!F32+[25]ACTIVOS!F215</f>
        <v>306330.58791973698</v>
      </c>
      <c r="H17" s="399">
        <f>+[25]ACTIVOS!G32+[25]ACTIVOS!G215</f>
        <v>333520.64725047606</v>
      </c>
      <c r="I17" s="400">
        <f>+[25]ACTIVOS!H32+[25]ACTIVOS!H215</f>
        <v>452165.88080814213</v>
      </c>
      <c r="Q17" s="494">
        <v>208150.0790332263</v>
      </c>
      <c r="R17" s="399">
        <v>203819.44569557876</v>
      </c>
      <c r="S17" s="398">
        <v>248218.4057650266</v>
      </c>
      <c r="T17" s="399">
        <v>306921.36147428351</v>
      </c>
      <c r="U17" s="399">
        <v>334081.42080502253</v>
      </c>
      <c r="V17" s="400">
        <v>452696.65436268866</v>
      </c>
      <c r="AD17" s="494">
        <f t="shared" si="0"/>
        <v>0</v>
      </c>
      <c r="AE17" s="399">
        <f t="shared" si="0"/>
        <v>-3042.1647100000118</v>
      </c>
      <c r="AF17" s="398">
        <f t="shared" si="0"/>
        <v>-10507.451863817289</v>
      </c>
      <c r="AG17" s="399">
        <f t="shared" si="0"/>
        <v>-590.7735545465257</v>
      </c>
      <c r="AH17" s="399">
        <f t="shared" si="0"/>
        <v>-560.77355454646749</v>
      </c>
      <c r="AI17" s="400">
        <f t="shared" si="0"/>
        <v>-530.7735545465257</v>
      </c>
    </row>
    <row r="18" spans="2:35">
      <c r="B18" s="102" t="s">
        <v>238</v>
      </c>
      <c r="C18" s="103"/>
      <c r="D18" s="398">
        <f>+[25]ACTIVOS!C59</f>
        <v>0</v>
      </c>
      <c r="E18" s="399">
        <f>+[25]ACTIVOS!D59</f>
        <v>0</v>
      </c>
      <c r="F18" s="398">
        <f>+[25]ACTIVOS!E59</f>
        <v>0</v>
      </c>
      <c r="G18" s="399">
        <f>+[25]ACTIVOS!F59</f>
        <v>0</v>
      </c>
      <c r="H18" s="399">
        <f>+[25]ACTIVOS!G59</f>
        <v>0</v>
      </c>
      <c r="I18" s="400">
        <f>+[25]ACTIVOS!H59</f>
        <v>285457.82998149999</v>
      </c>
      <c r="Q18" s="494">
        <v>0</v>
      </c>
      <c r="R18" s="399">
        <v>0</v>
      </c>
      <c r="S18" s="398">
        <v>0</v>
      </c>
      <c r="T18" s="399">
        <v>0</v>
      </c>
      <c r="U18" s="399">
        <v>0</v>
      </c>
      <c r="V18" s="400">
        <v>285457.82998149999</v>
      </c>
      <c r="AD18" s="494">
        <f t="shared" si="0"/>
        <v>0</v>
      </c>
      <c r="AE18" s="399">
        <f t="shared" si="0"/>
        <v>0</v>
      </c>
      <c r="AF18" s="398">
        <f t="shared" si="0"/>
        <v>0</v>
      </c>
      <c r="AG18" s="399">
        <f t="shared" si="0"/>
        <v>0</v>
      </c>
      <c r="AH18" s="399">
        <f t="shared" si="0"/>
        <v>0</v>
      </c>
      <c r="AI18" s="400">
        <f t="shared" si="0"/>
        <v>0</v>
      </c>
    </row>
    <row r="19" spans="2:35">
      <c r="B19" s="102" t="s">
        <v>49</v>
      </c>
      <c r="C19" s="103" t="s">
        <v>45</v>
      </c>
      <c r="D19" s="398">
        <f>+[25]ACTIVOS!C115</f>
        <v>8607.5463466670826</v>
      </c>
      <c r="E19" s="399">
        <f>+[25]ACTIVOS!D115</f>
        <v>7843.4760976887846</v>
      </c>
      <c r="F19" s="398">
        <f>+[25]ACTIVOS!E115</f>
        <v>7079.4058487104867</v>
      </c>
      <c r="G19" s="399">
        <f>+[25]ACTIVOS!F115</f>
        <v>22563.335599732189</v>
      </c>
      <c r="H19" s="399">
        <f>+[25]ACTIVOS!G115</f>
        <v>21311.82535075389</v>
      </c>
      <c r="I19" s="400">
        <f>+[25]ACTIVOS!H115</f>
        <v>20060.315101775595</v>
      </c>
      <c r="Q19" s="494">
        <v>8607.5463466670826</v>
      </c>
      <c r="R19" s="399">
        <v>16294.476097688785</v>
      </c>
      <c r="S19" s="398">
        <v>23073.875848710486</v>
      </c>
      <c r="T19" s="399">
        <v>21822.365599732191</v>
      </c>
      <c r="U19" s="399">
        <v>20570.855350753889</v>
      </c>
      <c r="V19" s="400">
        <v>19319.345101775594</v>
      </c>
      <c r="AD19" s="494">
        <f t="shared" si="0"/>
        <v>0</v>
      </c>
      <c r="AE19" s="399">
        <f t="shared" si="0"/>
        <v>-8451</v>
      </c>
      <c r="AF19" s="398">
        <f t="shared" si="0"/>
        <v>-15994.47</v>
      </c>
      <c r="AG19" s="399">
        <f t="shared" si="0"/>
        <v>740.96999999999753</v>
      </c>
      <c r="AH19" s="399">
        <f t="shared" si="0"/>
        <v>740.97000000000116</v>
      </c>
      <c r="AI19" s="400">
        <f t="shared" si="0"/>
        <v>740.97000000000116</v>
      </c>
    </row>
    <row r="20" spans="2:35">
      <c r="B20" s="106" t="s">
        <v>95</v>
      </c>
      <c r="C20" s="107" t="s">
        <v>45</v>
      </c>
      <c r="D20" s="401">
        <f>+[25]ACTIVOS!C144</f>
        <v>269.1894999999995</v>
      </c>
      <c r="E20" s="402">
        <f>+[25]ACTIVOS!D144</f>
        <v>199.15799999999945</v>
      </c>
      <c r="F20" s="401">
        <f>+[25]ACTIVOS!E144</f>
        <v>129.1264999999994</v>
      </c>
      <c r="G20" s="402">
        <f>+[25]ACTIVOS!F144</f>
        <v>59.094999999999345</v>
      </c>
      <c r="H20" s="402">
        <f>+[25]ACTIVOS!G144</f>
        <v>0</v>
      </c>
      <c r="I20" s="403">
        <f>+[25]ACTIVOS!H144</f>
        <v>0</v>
      </c>
      <c r="Q20" s="495">
        <v>269.1894999999995</v>
      </c>
      <c r="R20" s="402">
        <v>199.15799999999945</v>
      </c>
      <c r="S20" s="401">
        <v>129.1264999999994</v>
      </c>
      <c r="T20" s="402">
        <v>59.094999999999345</v>
      </c>
      <c r="U20" s="402">
        <v>0</v>
      </c>
      <c r="V20" s="403">
        <v>0</v>
      </c>
      <c r="AD20" s="495">
        <f t="shared" si="0"/>
        <v>0</v>
      </c>
      <c r="AE20" s="402">
        <f t="shared" si="0"/>
        <v>0</v>
      </c>
      <c r="AF20" s="401">
        <f t="shared" si="0"/>
        <v>0</v>
      </c>
      <c r="AG20" s="402">
        <f t="shared" si="0"/>
        <v>0</v>
      </c>
      <c r="AH20" s="402">
        <f t="shared" si="0"/>
        <v>0</v>
      </c>
      <c r="AI20" s="403">
        <f t="shared" si="0"/>
        <v>0</v>
      </c>
    </row>
    <row r="21" spans="2:35" ht="13">
      <c r="B21" s="116" t="s">
        <v>96</v>
      </c>
      <c r="C21" s="103"/>
      <c r="D21" s="111"/>
      <c r="E21" s="117"/>
      <c r="F21" s="113"/>
      <c r="G21" s="117"/>
      <c r="H21" s="117"/>
      <c r="I21" s="118"/>
      <c r="J21" s="394"/>
      <c r="Q21" s="493"/>
      <c r="R21" s="117"/>
      <c r="S21" s="113"/>
      <c r="T21" s="117"/>
      <c r="U21" s="117"/>
      <c r="V21" s="118"/>
      <c r="AD21" s="493"/>
      <c r="AE21" s="117"/>
      <c r="AF21" s="113"/>
      <c r="AG21" s="117"/>
      <c r="AH21" s="117"/>
      <c r="AI21" s="118"/>
    </row>
    <row r="22" spans="2:35">
      <c r="B22" s="102" t="s">
        <v>52</v>
      </c>
      <c r="C22" s="103" t="s">
        <v>45</v>
      </c>
      <c r="D22" s="398"/>
      <c r="E22" s="399">
        <v>3693.8999999999996</v>
      </c>
      <c r="F22" s="398">
        <v>6416.9</v>
      </c>
      <c r="G22" s="399">
        <v>6661.9</v>
      </c>
      <c r="H22" s="399">
        <v>16764.3</v>
      </c>
      <c r="I22" s="400">
        <v>16764.3</v>
      </c>
      <c r="J22" s="11"/>
      <c r="Q22" s="494">
        <v>672845.40272774338</v>
      </c>
      <c r="R22" s="399">
        <v>679766.35099774343</v>
      </c>
      <c r="S22" s="398">
        <v>735624.52112293872</v>
      </c>
      <c r="T22" s="399">
        <v>834392.43199169892</v>
      </c>
      <c r="U22" s="399">
        <v>876842.58380800416</v>
      </c>
      <c r="V22" s="400">
        <v>1012021.4144057257</v>
      </c>
      <c r="AD22" s="494">
        <f t="shared" si="0"/>
        <v>-672845.40272774338</v>
      </c>
      <c r="AE22" s="399">
        <f t="shared" si="0"/>
        <v>-676072.45099774341</v>
      </c>
      <c r="AF22" s="398">
        <f t="shared" si="0"/>
        <v>-729207.6211229387</v>
      </c>
      <c r="AG22" s="399">
        <f t="shared" si="0"/>
        <v>-827730.5319916989</v>
      </c>
      <c r="AH22" s="399">
        <f t="shared" si="0"/>
        <v>-860078.28380800411</v>
      </c>
      <c r="AI22" s="400">
        <f t="shared" si="0"/>
        <v>-995257.11440572562</v>
      </c>
    </row>
    <row r="23" spans="2:35">
      <c r="B23" s="102" t="s">
        <v>239</v>
      </c>
      <c r="C23" s="103" t="s">
        <v>45</v>
      </c>
      <c r="D23" s="398"/>
      <c r="E23" s="399">
        <v>34765.1</v>
      </c>
      <c r="F23" s="398">
        <v>102035.1</v>
      </c>
      <c r="G23" s="399">
        <v>272363.09999999998</v>
      </c>
      <c r="H23" s="399">
        <v>377512.7</v>
      </c>
      <c r="I23" s="400">
        <v>487440.7</v>
      </c>
      <c r="J23" s="11"/>
      <c r="Q23" s="494">
        <v>0</v>
      </c>
      <c r="R23" s="399">
        <v>0</v>
      </c>
      <c r="S23" s="398">
        <v>0</v>
      </c>
      <c r="T23" s="399">
        <v>0</v>
      </c>
      <c r="U23" s="399">
        <v>0</v>
      </c>
      <c r="V23" s="400">
        <v>285457.82998149999</v>
      </c>
      <c r="AD23" s="494">
        <f t="shared" si="0"/>
        <v>0</v>
      </c>
      <c r="AE23" s="399">
        <f t="shared" si="0"/>
        <v>34765.1</v>
      </c>
      <c r="AF23" s="398">
        <f t="shared" si="0"/>
        <v>102035.1</v>
      </c>
      <c r="AG23" s="399">
        <f t="shared" si="0"/>
        <v>272363.09999999998</v>
      </c>
      <c r="AH23" s="399">
        <f t="shared" si="0"/>
        <v>377512.7</v>
      </c>
      <c r="AI23" s="400">
        <f t="shared" si="0"/>
        <v>201982.87001850002</v>
      </c>
    </row>
    <row r="24" spans="2:35">
      <c r="B24" s="102" t="s">
        <v>53</v>
      </c>
      <c r="C24" s="103" t="s">
        <v>45</v>
      </c>
      <c r="D24" s="398"/>
      <c r="E24" s="399"/>
      <c r="F24" s="398"/>
      <c r="G24" s="399"/>
      <c r="H24" s="399"/>
      <c r="I24" s="400"/>
      <c r="J24" s="11"/>
      <c r="Q24" s="494">
        <v>55584.10027607534</v>
      </c>
      <c r="R24" s="399">
        <v>64035.10027607534</v>
      </c>
      <c r="S24" s="398">
        <v>71832.100276075333</v>
      </c>
      <c r="T24" s="399">
        <v>71832.100276075333</v>
      </c>
      <c r="U24" s="399">
        <v>71832.100276075333</v>
      </c>
      <c r="V24" s="400">
        <v>71832.100276075333</v>
      </c>
      <c r="AD24" s="494">
        <f t="shared" si="0"/>
        <v>-55584.10027607534</v>
      </c>
      <c r="AE24" s="399">
        <f t="shared" si="0"/>
        <v>-64035.10027607534</v>
      </c>
      <c r="AF24" s="398">
        <f t="shared" si="0"/>
        <v>-71832.100276075333</v>
      </c>
      <c r="AG24" s="399">
        <f t="shared" si="0"/>
        <v>-71832.100276075333</v>
      </c>
      <c r="AH24" s="399">
        <f t="shared" si="0"/>
        <v>-71832.100276075333</v>
      </c>
      <c r="AI24" s="400">
        <f t="shared" si="0"/>
        <v>-71832.100276075333</v>
      </c>
    </row>
    <row r="25" spans="2:35" ht="13">
      <c r="B25" s="116" t="s">
        <v>54</v>
      </c>
      <c r="C25" s="103"/>
      <c r="D25" s="398"/>
      <c r="E25" s="399"/>
      <c r="F25" s="398"/>
      <c r="G25" s="399"/>
      <c r="H25" s="399"/>
      <c r="I25" s="400"/>
      <c r="J25" s="11"/>
      <c r="Q25" s="494"/>
      <c r="R25" s="399"/>
      <c r="S25" s="398"/>
      <c r="T25" s="399"/>
      <c r="U25" s="399"/>
      <c r="V25" s="400"/>
      <c r="AD25" s="494">
        <f t="shared" si="0"/>
        <v>0</v>
      </c>
      <c r="AE25" s="399">
        <f t="shared" si="0"/>
        <v>0</v>
      </c>
      <c r="AF25" s="398">
        <f t="shared" si="0"/>
        <v>0</v>
      </c>
      <c r="AG25" s="399">
        <f t="shared" si="0"/>
        <v>0</v>
      </c>
      <c r="AH25" s="399">
        <f t="shared" si="0"/>
        <v>0</v>
      </c>
      <c r="AI25" s="400">
        <f t="shared" si="0"/>
        <v>0</v>
      </c>
    </row>
    <row r="26" spans="2:35">
      <c r="B26" s="102" t="s">
        <v>240</v>
      </c>
      <c r="C26" s="103" t="s">
        <v>45</v>
      </c>
      <c r="D26" s="398"/>
      <c r="E26" s="399">
        <f>+[25]ACTIVOS!D160</f>
        <v>552.98275666666655</v>
      </c>
      <c r="F26" s="399">
        <f>+[25]ACTIVOS!E160</f>
        <v>3708.333333333333</v>
      </c>
      <c r="G26" s="399">
        <f>+[25]ACTIVOS!F160</f>
        <v>14627.666002949512</v>
      </c>
      <c r="H26" s="399">
        <f>+[25]ACTIVOS!G160</f>
        <v>52.364652898412075</v>
      </c>
      <c r="I26" s="400">
        <f>+[25]ACTIVOS!H160</f>
        <v>47677.735883143461</v>
      </c>
      <c r="J26" s="11"/>
      <c r="K26" s="11"/>
      <c r="Q26" s="494">
        <v>0</v>
      </c>
      <c r="R26" s="399">
        <v>552.98275666666655</v>
      </c>
      <c r="S26" s="399">
        <v>6580.4562743352672</v>
      </c>
      <c r="T26" s="399">
        <v>12132.045890916219</v>
      </c>
      <c r="U26" s="399">
        <v>52.364652898412075</v>
      </c>
      <c r="V26" s="400">
        <v>47677.735883143461</v>
      </c>
      <c r="AD26" s="494">
        <f t="shared" si="0"/>
        <v>0</v>
      </c>
      <c r="AE26" s="399">
        <f t="shared" si="0"/>
        <v>0</v>
      </c>
      <c r="AF26" s="399">
        <f t="shared" si="0"/>
        <v>-2872.1229410019341</v>
      </c>
      <c r="AG26" s="399">
        <f t="shared" si="0"/>
        <v>2495.6201120332935</v>
      </c>
      <c r="AH26" s="399">
        <f t="shared" si="0"/>
        <v>0</v>
      </c>
      <c r="AI26" s="400">
        <f t="shared" si="0"/>
        <v>0</v>
      </c>
    </row>
    <row r="27" spans="2:35">
      <c r="B27" s="102" t="s">
        <v>241</v>
      </c>
      <c r="C27" s="103" t="s">
        <v>45</v>
      </c>
      <c r="D27" s="398"/>
      <c r="E27" s="399">
        <f>+[25]ACTIVOS!D165</f>
        <v>1014.4604091666668</v>
      </c>
      <c r="F27" s="399">
        <f>+[25]ACTIVOS!E165</f>
        <v>13022.718169173173</v>
      </c>
      <c r="G27" s="399">
        <f>+[25]ACTIVOS!F165</f>
        <v>29436.330429536429</v>
      </c>
      <c r="H27" s="399">
        <f>+[25]ACTIVOS!G165</f>
        <v>17387.492574819265</v>
      </c>
      <c r="I27" s="400">
        <f>+[25]ACTIVOS!H165</f>
        <v>63438.998632194074</v>
      </c>
      <c r="J27" s="11"/>
      <c r="K27" s="11"/>
      <c r="Q27" s="494">
        <v>0</v>
      </c>
      <c r="R27" s="399">
        <v>1267.9741350000002</v>
      </c>
      <c r="S27" s="399">
        <v>23805.79554877595</v>
      </c>
      <c r="T27" s="399">
        <v>25026.555360311118</v>
      </c>
      <c r="U27" s="399">
        <v>17387.492574819265</v>
      </c>
      <c r="V27" s="400">
        <v>63438.998632194074</v>
      </c>
      <c r="AD27" s="494">
        <f t="shared" si="0"/>
        <v>0</v>
      </c>
      <c r="AE27" s="399">
        <f t="shared" si="0"/>
        <v>-253.51372583333341</v>
      </c>
      <c r="AF27" s="399">
        <f t="shared" si="0"/>
        <v>-10783.077379602777</v>
      </c>
      <c r="AG27" s="399">
        <f t="shared" si="0"/>
        <v>4409.7750692253103</v>
      </c>
      <c r="AH27" s="399">
        <f t="shared" si="0"/>
        <v>0</v>
      </c>
      <c r="AI27" s="400">
        <f t="shared" si="0"/>
        <v>0</v>
      </c>
    </row>
    <row r="28" spans="2:35">
      <c r="B28" s="102" t="s">
        <v>242</v>
      </c>
      <c r="C28" s="103" t="s">
        <v>45</v>
      </c>
      <c r="D28" s="398"/>
      <c r="E28" s="399">
        <f>+[25]ACTIVOS!D161</f>
        <v>0</v>
      </c>
      <c r="F28" s="399">
        <f>+[25]ACTIVOS!E161</f>
        <v>0</v>
      </c>
      <c r="G28" s="399">
        <f>+[25]ACTIVOS!F161</f>
        <v>0</v>
      </c>
      <c r="H28" s="399">
        <f>+[25]ACTIVOS!G161</f>
        <v>0</v>
      </c>
      <c r="I28" s="400">
        <f>+[25]ACTIVOS!H161</f>
        <v>142728.91499075</v>
      </c>
      <c r="J28" s="11"/>
      <c r="Q28" s="494">
        <v>0</v>
      </c>
      <c r="R28" s="399">
        <v>0</v>
      </c>
      <c r="S28" s="399">
        <v>0</v>
      </c>
      <c r="T28" s="399">
        <v>0</v>
      </c>
      <c r="U28" s="399">
        <v>0</v>
      </c>
      <c r="V28" s="400">
        <v>142728.91499075</v>
      </c>
      <c r="AD28" s="494">
        <f t="shared" si="0"/>
        <v>0</v>
      </c>
      <c r="AE28" s="399">
        <f t="shared" si="0"/>
        <v>0</v>
      </c>
      <c r="AF28" s="399">
        <f t="shared" si="0"/>
        <v>0</v>
      </c>
      <c r="AG28" s="399">
        <f t="shared" si="0"/>
        <v>0</v>
      </c>
      <c r="AH28" s="399">
        <f t="shared" si="0"/>
        <v>0</v>
      </c>
      <c r="AI28" s="400">
        <f t="shared" si="0"/>
        <v>0</v>
      </c>
    </row>
    <row r="29" spans="2:35">
      <c r="B29" s="102" t="s">
        <v>243</v>
      </c>
      <c r="C29" s="103" t="s">
        <v>45</v>
      </c>
      <c r="D29" s="398"/>
      <c r="E29" s="399">
        <f>+[25]ACTIVOS!D166</f>
        <v>0</v>
      </c>
      <c r="F29" s="399">
        <f>+[25]ACTIVOS!E166</f>
        <v>0</v>
      </c>
      <c r="G29" s="399">
        <f>+[25]ACTIVOS!F166</f>
        <v>0</v>
      </c>
      <c r="H29" s="399">
        <f>+[25]ACTIVOS!G166</f>
        <v>0</v>
      </c>
      <c r="I29" s="400">
        <f>+[25]ACTIVOS!H166</f>
        <v>142728.91499075</v>
      </c>
      <c r="J29" s="11"/>
      <c r="Q29" s="494">
        <v>0</v>
      </c>
      <c r="R29" s="399">
        <v>0</v>
      </c>
      <c r="S29" s="399">
        <v>0</v>
      </c>
      <c r="T29" s="399">
        <v>0</v>
      </c>
      <c r="U29" s="399">
        <v>0</v>
      </c>
      <c r="V29" s="400">
        <v>142728.91499075</v>
      </c>
      <c r="AD29" s="494">
        <f t="shared" ref="AD29:AI31" si="1">+D29-Q29</f>
        <v>0</v>
      </c>
      <c r="AE29" s="399">
        <f t="shared" si="1"/>
        <v>0</v>
      </c>
      <c r="AF29" s="399">
        <f t="shared" si="1"/>
        <v>0</v>
      </c>
      <c r="AG29" s="399">
        <f t="shared" si="1"/>
        <v>0</v>
      </c>
      <c r="AH29" s="399">
        <f t="shared" si="1"/>
        <v>0</v>
      </c>
      <c r="AI29" s="400">
        <f t="shared" si="1"/>
        <v>0</v>
      </c>
    </row>
    <row r="30" spans="2:35">
      <c r="B30" s="102" t="s">
        <v>53</v>
      </c>
      <c r="C30" s="103" t="s">
        <v>45</v>
      </c>
      <c r="D30" s="398"/>
      <c r="E30" s="399">
        <f>+[25]ACTIVOS!D162</f>
        <v>0</v>
      </c>
      <c r="F30" s="398">
        <f>+[25]ACTIVOS!E162</f>
        <v>0</v>
      </c>
      <c r="G30" s="399">
        <f>+[25]ACTIVOS!F162</f>
        <v>2598.9999999999995</v>
      </c>
      <c r="H30" s="399">
        <f>+[25]ACTIVOS!G162</f>
        <v>0</v>
      </c>
      <c r="I30" s="400">
        <f>+[25]ACTIVOS!H162</f>
        <v>0</v>
      </c>
      <c r="J30" s="11"/>
      <c r="Q30" s="494">
        <v>0</v>
      </c>
      <c r="R30" s="399">
        <v>0</v>
      </c>
      <c r="S30" s="398">
        <v>0</v>
      </c>
      <c r="T30" s="399">
        <v>0</v>
      </c>
      <c r="U30" s="399">
        <v>0</v>
      </c>
      <c r="V30" s="400">
        <v>0</v>
      </c>
      <c r="AD30" s="494">
        <f t="shared" si="1"/>
        <v>0</v>
      </c>
      <c r="AE30" s="399">
        <f t="shared" si="1"/>
        <v>0</v>
      </c>
      <c r="AF30" s="398">
        <f t="shared" si="1"/>
        <v>0</v>
      </c>
      <c r="AG30" s="399">
        <f t="shared" si="1"/>
        <v>2598.9999999999995</v>
      </c>
      <c r="AH30" s="399">
        <f t="shared" si="1"/>
        <v>0</v>
      </c>
      <c r="AI30" s="400">
        <f t="shared" si="1"/>
        <v>0</v>
      </c>
    </row>
    <row r="31" spans="2:35" ht="13" thickBot="1">
      <c r="B31" s="119" t="s">
        <v>53</v>
      </c>
      <c r="C31" s="120" t="s">
        <v>45</v>
      </c>
      <c r="D31" s="404"/>
      <c r="E31" s="405">
        <f>+[25]ACTIVOS!D167</f>
        <v>0</v>
      </c>
      <c r="F31" s="404">
        <f>+[25]ACTIVOS!E167</f>
        <v>0</v>
      </c>
      <c r="G31" s="405">
        <f>+[25]ACTIVOS!F167</f>
        <v>5300.25</v>
      </c>
      <c r="H31" s="405">
        <f>+[25]ACTIVOS!G167</f>
        <v>0</v>
      </c>
      <c r="I31" s="406">
        <f>+[25]ACTIVOS!H167</f>
        <v>0</v>
      </c>
      <c r="J31" s="11"/>
      <c r="Q31" s="496">
        <v>0</v>
      </c>
      <c r="R31" s="405">
        <v>1401.75</v>
      </c>
      <c r="S31" s="404">
        <v>3898.5</v>
      </c>
      <c r="T31" s="405">
        <v>0</v>
      </c>
      <c r="U31" s="405">
        <v>0</v>
      </c>
      <c r="V31" s="406">
        <v>0</v>
      </c>
      <c r="AD31" s="496">
        <f t="shared" si="1"/>
        <v>0</v>
      </c>
      <c r="AE31" s="405">
        <f t="shared" si="1"/>
        <v>-1401.75</v>
      </c>
      <c r="AF31" s="404">
        <f t="shared" si="1"/>
        <v>-3898.5</v>
      </c>
      <c r="AG31" s="405">
        <f t="shared" si="1"/>
        <v>5300.25</v>
      </c>
      <c r="AH31" s="405">
        <f t="shared" si="1"/>
        <v>0</v>
      </c>
      <c r="AI31" s="406">
        <f t="shared" si="1"/>
        <v>0</v>
      </c>
    </row>
    <row r="32" spans="2:35" ht="13" thickBot="1">
      <c r="B32" s="113"/>
      <c r="C32" s="113"/>
      <c r="D32" s="113"/>
      <c r="E32" s="113"/>
      <c r="F32" s="113"/>
      <c r="G32" s="113"/>
      <c r="H32" s="113"/>
      <c r="I32" s="113"/>
      <c r="Q32" s="113"/>
      <c r="R32" s="113"/>
      <c r="S32" s="113"/>
      <c r="T32" s="113"/>
      <c r="U32" s="113"/>
      <c r="V32" s="113"/>
      <c r="AD32" s="113"/>
      <c r="AE32" s="113"/>
      <c r="AF32" s="113"/>
      <c r="AG32" s="113"/>
      <c r="AH32" s="113"/>
      <c r="AI32" s="113"/>
    </row>
    <row r="33" spans="2:40" ht="13">
      <c r="B33" s="1013" t="s">
        <v>56</v>
      </c>
      <c r="C33" s="1014"/>
      <c r="D33" s="12">
        <v>2012</v>
      </c>
      <c r="E33" s="12">
        <v>2013</v>
      </c>
      <c r="F33" s="12">
        <v>2013</v>
      </c>
      <c r="G33" s="12">
        <f>+F33+1</f>
        <v>2014</v>
      </c>
      <c r="H33" s="12">
        <v>2014</v>
      </c>
      <c r="I33" s="12">
        <f>+H33+1</f>
        <v>2015</v>
      </c>
      <c r="J33" s="12">
        <v>2015</v>
      </c>
      <c r="K33" s="12">
        <f>+J33+1</f>
        <v>2016</v>
      </c>
      <c r="L33" s="12">
        <v>2016</v>
      </c>
      <c r="M33" s="12">
        <f>+L33+1</f>
        <v>2017</v>
      </c>
      <c r="N33" s="13">
        <v>2017</v>
      </c>
      <c r="Q33" s="12">
        <v>2012</v>
      </c>
      <c r="R33" s="12">
        <v>2013</v>
      </c>
      <c r="S33" s="12">
        <v>2013</v>
      </c>
      <c r="T33" s="12">
        <v>2014</v>
      </c>
      <c r="U33" s="12">
        <v>2014</v>
      </c>
      <c r="V33" s="12">
        <v>2015</v>
      </c>
      <c r="W33" s="12">
        <v>2015</v>
      </c>
      <c r="X33" s="12">
        <v>2016</v>
      </c>
      <c r="Y33" s="12">
        <v>2016</v>
      </c>
      <c r="Z33" s="12">
        <v>2017</v>
      </c>
      <c r="AA33" s="13">
        <v>2017</v>
      </c>
      <c r="AD33" s="12">
        <v>2012</v>
      </c>
      <c r="AE33" s="12">
        <v>2013</v>
      </c>
      <c r="AF33" s="12">
        <v>2013</v>
      </c>
      <c r="AG33" s="12">
        <v>2014</v>
      </c>
      <c r="AH33" s="12">
        <v>2014</v>
      </c>
      <c r="AI33" s="12">
        <v>2015</v>
      </c>
      <c r="AJ33" s="12">
        <v>2015</v>
      </c>
      <c r="AK33" s="12">
        <v>2016</v>
      </c>
      <c r="AL33" s="12">
        <v>2016</v>
      </c>
      <c r="AM33" s="12">
        <v>2017</v>
      </c>
      <c r="AN33" s="13">
        <v>2017</v>
      </c>
    </row>
    <row r="34" spans="2:40" ht="12.75" customHeight="1">
      <c r="B34" s="1015"/>
      <c r="C34" s="1016"/>
      <c r="D34" s="121"/>
      <c r="E34" s="122" t="s">
        <v>244</v>
      </c>
      <c r="F34" s="123" t="s">
        <v>245</v>
      </c>
      <c r="G34" s="122" t="s">
        <v>244</v>
      </c>
      <c r="H34" s="123" t="s">
        <v>245</v>
      </c>
      <c r="I34" s="123" t="s">
        <v>244</v>
      </c>
      <c r="J34" s="123" t="s">
        <v>245</v>
      </c>
      <c r="K34" s="122" t="s">
        <v>244</v>
      </c>
      <c r="L34" s="123" t="s">
        <v>245</v>
      </c>
      <c r="M34" s="122" t="s">
        <v>244</v>
      </c>
      <c r="N34" s="124" t="s">
        <v>245</v>
      </c>
      <c r="Q34" s="497"/>
      <c r="R34" s="122" t="s">
        <v>244</v>
      </c>
      <c r="S34" s="123" t="s">
        <v>245</v>
      </c>
      <c r="T34" s="122" t="s">
        <v>244</v>
      </c>
      <c r="U34" s="123" t="s">
        <v>245</v>
      </c>
      <c r="V34" s="123" t="s">
        <v>244</v>
      </c>
      <c r="W34" s="123" t="s">
        <v>245</v>
      </c>
      <c r="X34" s="122" t="s">
        <v>244</v>
      </c>
      <c r="Y34" s="123" t="s">
        <v>245</v>
      </c>
      <c r="Z34" s="122" t="s">
        <v>244</v>
      </c>
      <c r="AA34" s="124" t="s">
        <v>245</v>
      </c>
      <c r="AD34" s="497"/>
      <c r="AE34" s="122" t="s">
        <v>244</v>
      </c>
      <c r="AF34" s="123" t="s">
        <v>245</v>
      </c>
      <c r="AG34" s="122" t="s">
        <v>244</v>
      </c>
      <c r="AH34" s="123" t="s">
        <v>245</v>
      </c>
      <c r="AI34" s="123" t="s">
        <v>244</v>
      </c>
      <c r="AJ34" s="123" t="s">
        <v>245</v>
      </c>
      <c r="AK34" s="122" t="s">
        <v>244</v>
      </c>
      <c r="AL34" s="123" t="s">
        <v>245</v>
      </c>
      <c r="AM34" s="122" t="s">
        <v>244</v>
      </c>
      <c r="AN34" s="124" t="s">
        <v>245</v>
      </c>
    </row>
    <row r="35" spans="2:40" ht="13">
      <c r="B35" s="14" t="s">
        <v>97</v>
      </c>
      <c r="C35" s="125"/>
      <c r="D35" s="125"/>
      <c r="E35" s="407">
        <f>SUM(E36:E41)</f>
        <v>12846.955772400532</v>
      </c>
      <c r="F35" s="407">
        <f t="shared" ref="F35:N35" si="2">SUM(F36:F41)</f>
        <v>13426.420441893393</v>
      </c>
      <c r="G35" s="407">
        <f t="shared" si="2"/>
        <v>13334.873189056803</v>
      </c>
      <c r="H35" s="407">
        <f t="shared" si="2"/>
        <v>14579.14350789496</v>
      </c>
      <c r="I35" s="407">
        <f t="shared" si="2"/>
        <v>16822.782931259408</v>
      </c>
      <c r="J35" s="407">
        <f t="shared" si="2"/>
        <v>18801.011438281916</v>
      </c>
      <c r="K35" s="407">
        <f t="shared" si="2"/>
        <v>18694.546103614714</v>
      </c>
      <c r="L35" s="407">
        <f t="shared" si="2"/>
        <v>21010.274466427611</v>
      </c>
      <c r="M35" s="407">
        <f t="shared" si="2"/>
        <v>26533.049435243407</v>
      </c>
      <c r="N35" s="408">
        <f t="shared" si="2"/>
        <v>28638.531629901398</v>
      </c>
      <c r="Q35" s="498"/>
      <c r="R35" s="407">
        <v>23579.568569899988</v>
      </c>
      <c r="S35" s="407">
        <v>24178.99065786949</v>
      </c>
      <c r="T35" s="407">
        <v>24473.42871957878</v>
      </c>
      <c r="U35" s="407">
        <v>26835.022734104594</v>
      </c>
      <c r="V35" s="407">
        <v>28610.99042089214</v>
      </c>
      <c r="W35" s="407">
        <v>30378.827669146183</v>
      </c>
      <c r="X35" s="407">
        <v>31988.890684413029</v>
      </c>
      <c r="Y35" s="407">
        <v>34365.536722508383</v>
      </c>
      <c r="Z35" s="407">
        <v>40574.328333907491</v>
      </c>
      <c r="AA35" s="408">
        <v>42735.197456802322</v>
      </c>
      <c r="AD35" s="498"/>
      <c r="AE35" s="407">
        <f>+E35-R35</f>
        <v>-10732.612797499456</v>
      </c>
      <c r="AF35" s="407">
        <f t="shared" ref="AF35:AN50" si="3">+F35-S35</f>
        <v>-10752.570215976097</v>
      </c>
      <c r="AG35" s="407">
        <f t="shared" si="3"/>
        <v>-11138.555530521977</v>
      </c>
      <c r="AH35" s="407">
        <f t="shared" si="3"/>
        <v>-12255.879226209634</v>
      </c>
      <c r="AI35" s="407">
        <f t="shared" si="3"/>
        <v>-11788.207489632732</v>
      </c>
      <c r="AJ35" s="407">
        <f t="shared" si="3"/>
        <v>-11577.816230864268</v>
      </c>
      <c r="AK35" s="407">
        <f t="shared" si="3"/>
        <v>-13294.344580798315</v>
      </c>
      <c r="AL35" s="407">
        <f t="shared" si="3"/>
        <v>-13355.262256080772</v>
      </c>
      <c r="AM35" s="407">
        <f t="shared" si="3"/>
        <v>-14041.278898664084</v>
      </c>
      <c r="AN35" s="408">
        <f t="shared" si="3"/>
        <v>-14096.665826900924</v>
      </c>
    </row>
    <row r="36" spans="2:40">
      <c r="B36" s="97" t="s">
        <v>58</v>
      </c>
      <c r="C36" s="98" t="s">
        <v>45</v>
      </c>
      <c r="D36" s="126"/>
      <c r="E36" s="409">
        <f>E8*(D$22/2+E$26)</f>
        <v>10.340777549666665</v>
      </c>
      <c r="F36" s="409">
        <f>E8*(D$22/2+E$27)</f>
        <v>18.97040965141667</v>
      </c>
      <c r="G36" s="409">
        <f>F8*(E$22/2+F$26)</f>
        <v>103.88379833333333</v>
      </c>
      <c r="H36" s="409">
        <f>F8*(E$22/2+F$27)</f>
        <v>278.06279476353831</v>
      </c>
      <c r="I36" s="409">
        <f>G8*(F$22/2+G$26)</f>
        <v>333.5353692551559</v>
      </c>
      <c r="J36" s="409">
        <f>G8*(F$22/2+G$27)</f>
        <v>610.45739403233131</v>
      </c>
      <c r="K36" s="409">
        <f>H8*(G$22/2+H$26)</f>
        <v>63.267984009200312</v>
      </c>
      <c r="L36" s="409">
        <f>H8*(G$22/2+H$27)</f>
        <v>387.43487614912033</v>
      </c>
      <c r="M36" s="409">
        <f>I8*(H$22/2+I$26)</f>
        <v>1048.3198660147827</v>
      </c>
      <c r="N36" s="410">
        <f>I8*(H$22/2+I$27)</f>
        <v>1343.0554794220293</v>
      </c>
      <c r="Q36" s="98"/>
      <c r="R36" s="409">
        <v>6840.6063876469279</v>
      </c>
      <c r="S36" s="409">
        <v>6855.1207126270956</v>
      </c>
      <c r="T36" s="409">
        <v>7033.2117249961011</v>
      </c>
      <c r="U36" s="409">
        <v>7382.886112267247</v>
      </c>
      <c r="V36" s="409">
        <v>7712.8694209834266</v>
      </c>
      <c r="W36" s="409">
        <v>7974.6279632121432</v>
      </c>
      <c r="X36" s="409">
        <v>8470.146187169581</v>
      </c>
      <c r="Y36" s="409">
        <v>8822.0492839845738</v>
      </c>
      <c r="Z36" s="409">
        <v>9867.810264079053</v>
      </c>
      <c r="AA36" s="410">
        <v>10187.763897884781</v>
      </c>
      <c r="AD36" s="98"/>
      <c r="AE36" s="409">
        <f t="shared" ref="AE36:AN59" si="4">+E36-R36</f>
        <v>-6830.2656100972608</v>
      </c>
      <c r="AF36" s="409">
        <f t="shared" si="3"/>
        <v>-6836.1503029756786</v>
      </c>
      <c r="AG36" s="409">
        <f t="shared" si="3"/>
        <v>-6929.3279266627678</v>
      </c>
      <c r="AH36" s="409">
        <f t="shared" si="3"/>
        <v>-7104.8233175037085</v>
      </c>
      <c r="AI36" s="409">
        <f t="shared" si="3"/>
        <v>-7379.3340517282704</v>
      </c>
      <c r="AJ36" s="409">
        <f t="shared" si="3"/>
        <v>-7364.1705691798115</v>
      </c>
      <c r="AK36" s="409">
        <f t="shared" si="3"/>
        <v>-8406.8782031603805</v>
      </c>
      <c r="AL36" s="409">
        <f t="shared" si="3"/>
        <v>-8434.6144078354537</v>
      </c>
      <c r="AM36" s="409">
        <f t="shared" si="3"/>
        <v>-8819.4903980642703</v>
      </c>
      <c r="AN36" s="410">
        <f t="shared" si="3"/>
        <v>-8844.7084184627511</v>
      </c>
    </row>
    <row r="37" spans="2:40">
      <c r="B37" s="102" t="s">
        <v>59</v>
      </c>
      <c r="C37" s="103" t="s">
        <v>45</v>
      </c>
      <c r="D37" s="127"/>
      <c r="E37" s="411">
        <f>E9*(D$22/2+E$26)</f>
        <v>7.2993723879999983</v>
      </c>
      <c r="F37" s="411">
        <f>+E9*(D$22/2+E$27)</f>
        <v>13.390877401000001</v>
      </c>
      <c r="G37" s="411">
        <f>+F9*(E$22/2+F$26)</f>
        <v>73.329739999999987</v>
      </c>
      <c r="H37" s="411">
        <f>+F9*(E$22/2+F$27)</f>
        <v>196.27961983308586</v>
      </c>
      <c r="I37" s="411">
        <f>G9*(F$22/2+G$26)</f>
        <v>235.43673123893356</v>
      </c>
      <c r="J37" s="411">
        <f>G9*(F$22/2+G$27)</f>
        <v>430.91110166988085</v>
      </c>
      <c r="K37" s="411">
        <f>H9*(G$22/2+H$26)</f>
        <v>44.659753418259037</v>
      </c>
      <c r="L37" s="411">
        <f>H9*(G$22/2+H$27)</f>
        <v>273.4834419876143</v>
      </c>
      <c r="M37" s="411">
        <f>I9*(H$22/2+I$26)</f>
        <v>739.99049365749374</v>
      </c>
      <c r="N37" s="412">
        <f>I9*(H$22/2+I$27)</f>
        <v>948.03916194496185</v>
      </c>
      <c r="Q37" s="103"/>
      <c r="R37" s="411">
        <v>2628.410336140199</v>
      </c>
      <c r="S37" s="411">
        <v>2633.9872688911992</v>
      </c>
      <c r="T37" s="411">
        <v>2702.4163278310143</v>
      </c>
      <c r="U37" s="411">
        <v>2836.7739741716514</v>
      </c>
      <c r="V37" s="411">
        <v>2963.5655903286074</v>
      </c>
      <c r="W37" s="411">
        <v>3064.1427641898877</v>
      </c>
      <c r="X37" s="411">
        <v>3254.5389290602329</v>
      </c>
      <c r="Y37" s="411">
        <v>3389.7529268512158</v>
      </c>
      <c r="Z37" s="411">
        <v>3791.5724167397348</v>
      </c>
      <c r="AA37" s="412">
        <v>3914.5102661823298</v>
      </c>
      <c r="AD37" s="103"/>
      <c r="AE37" s="411">
        <f t="shared" si="4"/>
        <v>-2621.110963752199</v>
      </c>
      <c r="AF37" s="411">
        <f t="shared" si="3"/>
        <v>-2620.596391490199</v>
      </c>
      <c r="AG37" s="411">
        <f t="shared" si="3"/>
        <v>-2629.0865878310142</v>
      </c>
      <c r="AH37" s="411">
        <f t="shared" si="3"/>
        <v>-2640.4943543385657</v>
      </c>
      <c r="AI37" s="411">
        <f t="shared" si="3"/>
        <v>-2728.1288590896738</v>
      </c>
      <c r="AJ37" s="411">
        <f t="shared" si="3"/>
        <v>-2633.2316625200069</v>
      </c>
      <c r="AK37" s="411">
        <f t="shared" si="3"/>
        <v>-3209.8791756419737</v>
      </c>
      <c r="AL37" s="411">
        <f t="shared" si="3"/>
        <v>-3116.2694848636015</v>
      </c>
      <c r="AM37" s="411">
        <f t="shared" si="3"/>
        <v>-3051.5819230822408</v>
      </c>
      <c r="AN37" s="412">
        <f t="shared" si="3"/>
        <v>-2966.4711042373679</v>
      </c>
    </row>
    <row r="38" spans="2:40">
      <c r="B38" s="102" t="s">
        <v>60</v>
      </c>
      <c r="C38" s="103" t="s">
        <v>45</v>
      </c>
      <c r="D38" s="127"/>
      <c r="E38" s="411">
        <f>(-[25]ACTIVOS!D33-[25]ACTIVOS!D88)/2+D10*E26</f>
        <v>5644.2526211978529</v>
      </c>
      <c r="F38" s="411">
        <f>(-[25]ACTIVOS!D33-[25]ACTIVOS!D88)/2+D10*E27</f>
        <v>5659.6594599102145</v>
      </c>
      <c r="G38" s="411">
        <f>(-[25]ACTIVOS!E33-[25]ACTIVOS!E88)/2+D10*F26</f>
        <v>5807.7785383992896</v>
      </c>
      <c r="H38" s="411">
        <f>(-[25]ACTIVOS!E33-[25]ACTIVOS!E88)/2+D10*F27</f>
        <v>6118.7474966862928</v>
      </c>
      <c r="I38" s="411">
        <f>(-[25]ACTIVOS!F33-[25]ACTIVOS!F88)/2+D10*G26</f>
        <v>6896.8543670375693</v>
      </c>
      <c r="J38" s="411">
        <f>(-[25]ACTIVOS!F33-[25]ACTIVOS!F88)/2+D10*G27</f>
        <v>7391.2546985160707</v>
      </c>
      <c r="K38" s="411">
        <f>(-[25]ACTIVOS!G33-[25]ACTIVOS!G88)/2+D10*H26</f>
        <v>7631.7944829352737</v>
      </c>
      <c r="L38" s="411">
        <f>(-[25]ACTIVOS!G33-[25]ACTIVOS!G88)/2+D10*H27</f>
        <v>8210.543027971702</v>
      </c>
      <c r="M38" s="411">
        <f>(-[25]ACTIVOS!H33-[25]ACTIVOS!H88)/2+D10*I26</f>
        <v>9858.5618111486765</v>
      </c>
      <c r="N38" s="412">
        <f>(-[25]ACTIVOS!H33-[25]ACTIVOS!H88)/2+D10*I27</f>
        <v>10384.765478351794</v>
      </c>
      <c r="Q38" s="103"/>
      <c r="R38" s="411">
        <v>5642.3802865237585</v>
      </c>
      <c r="S38" s="411">
        <v>5663.8300278737579</v>
      </c>
      <c r="T38" s="411">
        <v>5927.0187161038166</v>
      </c>
      <c r="U38" s="411">
        <v>6443.7788943370369</v>
      </c>
      <c r="V38" s="411">
        <v>6931.4389564791763</v>
      </c>
      <c r="W38" s="411">
        <v>7318.2742405610234</v>
      </c>
      <c r="X38" s="411">
        <v>7646.6171823700452</v>
      </c>
      <c r="Y38" s="411">
        <v>8166.6710200276702</v>
      </c>
      <c r="Z38" s="411">
        <v>9712.1305965219744</v>
      </c>
      <c r="AA38" s="412">
        <v>10184.968478993493</v>
      </c>
      <c r="AD38" s="103"/>
      <c r="AE38" s="411">
        <f t="shared" si="4"/>
        <v>1.872334674094418</v>
      </c>
      <c r="AF38" s="411">
        <f t="shared" si="3"/>
        <v>-4.1705679635433626</v>
      </c>
      <c r="AG38" s="411">
        <f t="shared" si="3"/>
        <v>-119.24017770452701</v>
      </c>
      <c r="AH38" s="411">
        <f t="shared" si="3"/>
        <v>-325.03139765074411</v>
      </c>
      <c r="AI38" s="411">
        <f t="shared" si="3"/>
        <v>-34.584589441607022</v>
      </c>
      <c r="AJ38" s="411">
        <f t="shared" si="3"/>
        <v>72.980457955047314</v>
      </c>
      <c r="AK38" s="411">
        <f t="shared" si="3"/>
        <v>-14.822699434771494</v>
      </c>
      <c r="AL38" s="411">
        <f t="shared" si="3"/>
        <v>43.872007944031793</v>
      </c>
      <c r="AM38" s="411">
        <f t="shared" si="3"/>
        <v>146.43121462670206</v>
      </c>
      <c r="AN38" s="412">
        <f t="shared" si="3"/>
        <v>199.79699935830104</v>
      </c>
    </row>
    <row r="39" spans="2:40">
      <c r="B39" s="102" t="s">
        <v>61</v>
      </c>
      <c r="C39" s="103" t="s">
        <v>45</v>
      </c>
      <c r="D39" s="127"/>
      <c r="E39" s="411">
        <f>$D$11*(D17/2+E26)</f>
        <v>7146.093921265011</v>
      </c>
      <c r="F39" s="11">
        <f>$D$11*(D17/2+E27)</f>
        <v>7177.6128449307616</v>
      </c>
      <c r="G39" s="411">
        <f>$D$11*(E17/2+F26)</f>
        <v>7109.8233123241807</v>
      </c>
      <c r="H39" s="411">
        <f>$D$11*(E17/2+F27)</f>
        <v>7745.9957966120419</v>
      </c>
      <c r="I39" s="411">
        <f>$D$11*(F17/2+G26)</f>
        <v>9116.8986637277503</v>
      </c>
      <c r="J39" s="411">
        <f>$D$11*(F17/2+G27)</f>
        <v>10128.330444063635</v>
      </c>
      <c r="K39" s="411">
        <f>$D$11*(G17/2+H26)</f>
        <v>10464.76608325198</v>
      </c>
      <c r="L39" s="411">
        <f>$D$11*(G17/2+H27)</f>
        <v>11648.755320319175</v>
      </c>
      <c r="M39" s="411">
        <f>$D$11*(H17/2+I26)</f>
        <v>14646.119464422456</v>
      </c>
      <c r="N39" s="412">
        <f>$D$11*(H17/2+I27)</f>
        <v>15722.613710182612</v>
      </c>
      <c r="Q39" s="103"/>
      <c r="R39" s="411">
        <v>8265.613759589105</v>
      </c>
      <c r="S39" s="11">
        <v>8322.0980784774383</v>
      </c>
      <c r="T39" s="411">
        <v>8570.7241506478476</v>
      </c>
      <c r="U39" s="411">
        <v>9931.5259533286608</v>
      </c>
      <c r="V39" s="411">
        <v>10763.058653100932</v>
      </c>
      <c r="W39" s="411">
        <v>11781.724901183128</v>
      </c>
      <c r="X39" s="411">
        <v>12127.530585813174</v>
      </c>
      <c r="Y39" s="411">
        <v>13497.005691644921</v>
      </c>
      <c r="Z39" s="411">
        <v>16962.757256566725</v>
      </c>
      <c r="AA39" s="412">
        <v>18207.89701374172</v>
      </c>
      <c r="AD39" s="103"/>
      <c r="AE39" s="411">
        <f t="shared" si="4"/>
        <v>-1119.5198383240941</v>
      </c>
      <c r="AF39" s="11">
        <f t="shared" si="3"/>
        <v>-1144.4852335466767</v>
      </c>
      <c r="AG39" s="411">
        <f t="shared" si="3"/>
        <v>-1460.9008383236669</v>
      </c>
      <c r="AH39" s="411">
        <f t="shared" si="3"/>
        <v>-2185.5301567166189</v>
      </c>
      <c r="AI39" s="411">
        <f t="shared" si="3"/>
        <v>-1646.1599893731818</v>
      </c>
      <c r="AJ39" s="411">
        <f t="shared" si="3"/>
        <v>-1653.3944571194934</v>
      </c>
      <c r="AK39" s="411">
        <f t="shared" si="3"/>
        <v>-1662.7645025611946</v>
      </c>
      <c r="AL39" s="411">
        <f t="shared" si="3"/>
        <v>-1848.2503713257465</v>
      </c>
      <c r="AM39" s="411">
        <f t="shared" si="3"/>
        <v>-2316.637792144269</v>
      </c>
      <c r="AN39" s="412">
        <f t="shared" si="3"/>
        <v>-2485.2833035591084</v>
      </c>
    </row>
    <row r="40" spans="2:40" ht="22.5">
      <c r="B40" s="102" t="s">
        <v>98</v>
      </c>
      <c r="C40" s="103" t="s">
        <v>45</v>
      </c>
      <c r="D40" s="127"/>
      <c r="E40" s="499">
        <f>77.93816/2</f>
        <v>38.969079999999998</v>
      </c>
      <c r="F40" s="499">
        <f>77.93816/2</f>
        <v>38.969079999999998</v>
      </c>
      <c r="G40" s="411">
        <f t="shared" ref="G40:N40" si="5">405.1156/2</f>
        <v>202.55779999999999</v>
      </c>
      <c r="H40" s="411">
        <f t="shared" si="5"/>
        <v>202.55779999999999</v>
      </c>
      <c r="I40" s="411">
        <f t="shared" si="5"/>
        <v>202.55779999999999</v>
      </c>
      <c r="J40" s="411">
        <f t="shared" si="5"/>
        <v>202.55779999999999</v>
      </c>
      <c r="K40" s="411">
        <f t="shared" si="5"/>
        <v>202.55779999999999</v>
      </c>
      <c r="L40" s="411">
        <f t="shared" si="5"/>
        <v>202.55779999999999</v>
      </c>
      <c r="M40" s="411">
        <f t="shared" si="5"/>
        <v>202.55779999999999</v>
      </c>
      <c r="N40" s="412">
        <f t="shared" si="5"/>
        <v>202.55779999999999</v>
      </c>
      <c r="Q40" s="103"/>
      <c r="R40" s="411">
        <v>202.55779999999999</v>
      </c>
      <c r="S40" s="411">
        <v>202.55779999999999</v>
      </c>
      <c r="T40" s="411">
        <v>202.55779999999999</v>
      </c>
      <c r="U40" s="411">
        <v>202.55779999999999</v>
      </c>
      <c r="V40" s="411">
        <v>202.55779999999999</v>
      </c>
      <c r="W40" s="411">
        <v>202.55779999999999</v>
      </c>
      <c r="X40" s="411">
        <v>202.55779999999999</v>
      </c>
      <c r="Y40" s="411">
        <v>202.55779999999999</v>
      </c>
      <c r="Z40" s="411">
        <v>202.55779999999999</v>
      </c>
      <c r="AA40" s="412">
        <v>202.55779999999999</v>
      </c>
      <c r="AD40" s="103"/>
      <c r="AE40" s="411">
        <f t="shared" si="4"/>
        <v>-163.58872</v>
      </c>
      <c r="AF40" s="411">
        <f t="shared" si="3"/>
        <v>-163.58872</v>
      </c>
      <c r="AG40" s="411">
        <f t="shared" si="3"/>
        <v>0</v>
      </c>
      <c r="AH40" s="411">
        <f t="shared" si="3"/>
        <v>0</v>
      </c>
      <c r="AI40" s="411">
        <f t="shared" si="3"/>
        <v>0</v>
      </c>
      <c r="AJ40" s="411">
        <f t="shared" si="3"/>
        <v>0</v>
      </c>
      <c r="AK40" s="411">
        <f t="shared" si="3"/>
        <v>0</v>
      </c>
      <c r="AL40" s="411">
        <f t="shared" si="3"/>
        <v>0</v>
      </c>
      <c r="AM40" s="411">
        <f t="shared" si="3"/>
        <v>0</v>
      </c>
      <c r="AN40" s="412">
        <f t="shared" si="3"/>
        <v>0</v>
      </c>
    </row>
    <row r="41" spans="2:40" ht="22.5">
      <c r="B41" s="102" t="s">
        <v>246</v>
      </c>
      <c r="C41" s="103"/>
      <c r="D41" s="127"/>
      <c r="E41" s="499"/>
      <c r="F41" s="499">
        <f>456.39677+45+16.421</f>
        <v>517.81777</v>
      </c>
      <c r="G41" s="411">
        <v>37.5</v>
      </c>
      <c r="H41" s="411">
        <v>37.5</v>
      </c>
      <c r="I41" s="411">
        <v>37.5</v>
      </c>
      <c r="J41" s="411">
        <v>37.5</v>
      </c>
      <c r="K41" s="411">
        <f>37.5+250</f>
        <v>287.5</v>
      </c>
      <c r="L41" s="411">
        <f>37.5+250</f>
        <v>287.5</v>
      </c>
      <c r="M41" s="411">
        <v>37.5</v>
      </c>
      <c r="N41" s="412">
        <v>37.5</v>
      </c>
      <c r="Q41" s="103"/>
      <c r="R41" s="411">
        <v>0</v>
      </c>
      <c r="S41" s="411">
        <v>501.39677</v>
      </c>
      <c r="T41" s="411">
        <v>37.5</v>
      </c>
      <c r="U41" s="411">
        <v>37.5</v>
      </c>
      <c r="V41" s="411">
        <v>37.5</v>
      </c>
      <c r="W41" s="411">
        <v>37.5</v>
      </c>
      <c r="X41" s="411">
        <v>287.5</v>
      </c>
      <c r="Y41" s="411">
        <v>287.5</v>
      </c>
      <c r="Z41" s="411">
        <v>37.5</v>
      </c>
      <c r="AA41" s="412">
        <v>37.5</v>
      </c>
      <c r="AD41" s="103"/>
      <c r="AE41" s="411">
        <f t="shared" si="4"/>
        <v>0</v>
      </c>
      <c r="AF41" s="411">
        <f t="shared" si="3"/>
        <v>16.420999999999992</v>
      </c>
      <c r="AG41" s="411">
        <f t="shared" si="3"/>
        <v>0</v>
      </c>
      <c r="AH41" s="411">
        <f t="shared" si="3"/>
        <v>0</v>
      </c>
      <c r="AI41" s="411">
        <f t="shared" si="3"/>
        <v>0</v>
      </c>
      <c r="AJ41" s="411">
        <f t="shared" si="3"/>
        <v>0</v>
      </c>
      <c r="AK41" s="411">
        <f t="shared" si="3"/>
        <v>0</v>
      </c>
      <c r="AL41" s="411">
        <f t="shared" si="3"/>
        <v>0</v>
      </c>
      <c r="AM41" s="411">
        <f t="shared" si="3"/>
        <v>0</v>
      </c>
      <c r="AN41" s="412">
        <f t="shared" si="3"/>
        <v>0</v>
      </c>
    </row>
    <row r="42" spans="2:40">
      <c r="B42" s="106"/>
      <c r="C42" s="107"/>
      <c r="D42" s="128"/>
      <c r="E42" s="413"/>
      <c r="F42" s="413"/>
      <c r="G42" s="413"/>
      <c r="H42" s="413"/>
      <c r="I42" s="413"/>
      <c r="J42" s="413"/>
      <c r="K42" s="413"/>
      <c r="L42" s="413"/>
      <c r="M42" s="413"/>
      <c r="N42" s="414"/>
      <c r="Q42" s="107"/>
      <c r="R42" s="413"/>
      <c r="S42" s="413"/>
      <c r="T42" s="413"/>
      <c r="U42" s="413"/>
      <c r="V42" s="413"/>
      <c r="W42" s="413"/>
      <c r="X42" s="413"/>
      <c r="Y42" s="413"/>
      <c r="Z42" s="413"/>
      <c r="AA42" s="414"/>
      <c r="AD42" s="107"/>
      <c r="AE42" s="413"/>
      <c r="AF42" s="413"/>
      <c r="AG42" s="413"/>
      <c r="AH42" s="413"/>
      <c r="AI42" s="413"/>
      <c r="AJ42" s="413"/>
      <c r="AK42" s="413"/>
      <c r="AL42" s="413"/>
      <c r="AM42" s="413"/>
      <c r="AN42" s="414"/>
    </row>
    <row r="43" spans="2:40" ht="23.25" customHeight="1">
      <c r="B43" s="15" t="s">
        <v>99</v>
      </c>
      <c r="C43" s="128"/>
      <c r="D43" s="128"/>
      <c r="E43" s="415">
        <f t="shared" ref="E43:J43" si="6">SUM(E44:E47)</f>
        <v>0</v>
      </c>
      <c r="F43" s="415">
        <f t="shared" si="6"/>
        <v>0</v>
      </c>
      <c r="G43" s="415">
        <f t="shared" si="6"/>
        <v>0</v>
      </c>
      <c r="H43" s="415">
        <f t="shared" si="6"/>
        <v>0</v>
      </c>
      <c r="I43" s="415">
        <f t="shared" si="6"/>
        <v>0</v>
      </c>
      <c r="J43" s="415">
        <f t="shared" si="6"/>
        <v>0</v>
      </c>
      <c r="K43" s="415">
        <f>SUM(K44:K47)</f>
        <v>4344.1914450000004</v>
      </c>
      <c r="L43" s="415">
        <f>SUM(L44:L47)</f>
        <v>4344.1914450000004</v>
      </c>
      <c r="M43" s="415">
        <f>SUM(M44:M47)</f>
        <v>25087.895641468323</v>
      </c>
      <c r="N43" s="416">
        <f>SUM(N44:N47)</f>
        <v>25087.895641468323</v>
      </c>
      <c r="Q43" s="107"/>
      <c r="R43" s="415"/>
      <c r="S43" s="415"/>
      <c r="T43" s="415"/>
      <c r="U43" s="415"/>
      <c r="V43" s="415"/>
      <c r="W43" s="415"/>
      <c r="X43" s="415"/>
      <c r="Y43" s="415"/>
      <c r="Z43" s="415">
        <v>19568.134245231824</v>
      </c>
      <c r="AA43" s="416">
        <v>19568.134245231824</v>
      </c>
      <c r="AD43" s="107"/>
      <c r="AE43" s="415"/>
      <c r="AF43" s="415"/>
      <c r="AG43" s="415"/>
      <c r="AH43" s="415"/>
      <c r="AI43" s="415"/>
      <c r="AJ43" s="415"/>
      <c r="AK43" s="415"/>
      <c r="AL43" s="415"/>
      <c r="AM43" s="415">
        <f t="shared" si="3"/>
        <v>5519.7613962364994</v>
      </c>
      <c r="AN43" s="416">
        <f t="shared" si="3"/>
        <v>5519.7613962364994</v>
      </c>
    </row>
    <row r="44" spans="2:40" ht="13">
      <c r="B44" s="102" t="s">
        <v>58</v>
      </c>
      <c r="C44" s="98" t="s">
        <v>45</v>
      </c>
      <c r="D44" s="127"/>
      <c r="E44" s="417"/>
      <c r="F44" s="417"/>
      <c r="G44" s="417"/>
      <c r="H44" s="409"/>
      <c r="I44" s="409"/>
      <c r="J44" s="409"/>
      <c r="K44" s="409">
        <f>H8*(G23/2+H28)</f>
        <v>2546.5949850000002</v>
      </c>
      <c r="L44" s="409">
        <f>H8*(G23/2+H29)</f>
        <v>2546.5949850000002</v>
      </c>
      <c r="M44" s="409">
        <f>I8*(H23/2+I28)</f>
        <v>6198.7744553270259</v>
      </c>
      <c r="N44" s="410">
        <f>I8*(H23/2+I29)</f>
        <v>6198.7744553270259</v>
      </c>
      <c r="Q44" s="103"/>
      <c r="R44" s="417"/>
      <c r="S44" s="417"/>
      <c r="T44" s="417"/>
      <c r="U44" s="409"/>
      <c r="V44" s="409"/>
      <c r="W44" s="409"/>
      <c r="X44" s="409"/>
      <c r="Y44" s="409"/>
      <c r="Z44" s="409">
        <v>2897.3969743122248</v>
      </c>
      <c r="AA44" s="410">
        <v>2897.3969743122248</v>
      </c>
      <c r="AD44" s="103"/>
      <c r="AE44" s="417"/>
      <c r="AF44" s="417"/>
      <c r="AG44" s="417"/>
      <c r="AH44" s="409"/>
      <c r="AI44" s="409"/>
      <c r="AJ44" s="409"/>
      <c r="AK44" s="409"/>
      <c r="AL44" s="409"/>
      <c r="AM44" s="409">
        <f t="shared" si="3"/>
        <v>3301.3774810148011</v>
      </c>
      <c r="AN44" s="410">
        <f t="shared" si="3"/>
        <v>3301.3774810148011</v>
      </c>
    </row>
    <row r="45" spans="2:40" ht="13">
      <c r="B45" s="102" t="s">
        <v>59</v>
      </c>
      <c r="C45" s="103" t="s">
        <v>45</v>
      </c>
      <c r="D45" s="127"/>
      <c r="E45" s="417"/>
      <c r="F45" s="417"/>
      <c r="G45" s="417"/>
      <c r="H45" s="411"/>
      <c r="I45" s="411"/>
      <c r="J45" s="411"/>
      <c r="K45" s="411">
        <f>H9*(G$23/2+H$28)</f>
        <v>1797.5964599999998</v>
      </c>
      <c r="L45" s="411">
        <f>H9*(G$23/2+H$29)</f>
        <v>1797.5964599999998</v>
      </c>
      <c r="M45" s="411">
        <f>I9*(H$23/2+I$28)</f>
        <v>4375.6054978779002</v>
      </c>
      <c r="N45" s="412">
        <f>I9*(H$23/2+I$29)</f>
        <v>4375.6054978779002</v>
      </c>
      <c r="Q45" s="103"/>
      <c r="R45" s="417"/>
      <c r="S45" s="417"/>
      <c r="T45" s="417"/>
      <c r="U45" s="411"/>
      <c r="V45" s="411"/>
      <c r="W45" s="411"/>
      <c r="X45" s="411"/>
      <c r="Y45" s="411"/>
      <c r="Z45" s="411">
        <v>1113.28553692785</v>
      </c>
      <c r="AA45" s="412">
        <v>1113.28553692785</v>
      </c>
      <c r="AD45" s="103"/>
      <c r="AE45" s="417"/>
      <c r="AF45" s="417"/>
      <c r="AG45" s="417"/>
      <c r="AH45" s="411"/>
      <c r="AI45" s="411"/>
      <c r="AJ45" s="411"/>
      <c r="AK45" s="411"/>
      <c r="AL45" s="411"/>
      <c r="AM45" s="411">
        <f t="shared" si="3"/>
        <v>3262.3199609500502</v>
      </c>
      <c r="AN45" s="412">
        <f t="shared" si="3"/>
        <v>3262.3199609500502</v>
      </c>
    </row>
    <row r="46" spans="2:40">
      <c r="B46" s="102" t="s">
        <v>60</v>
      </c>
      <c r="C46" s="103" t="s">
        <v>45</v>
      </c>
      <c r="D46" s="127"/>
      <c r="E46" s="411"/>
      <c r="F46" s="411"/>
      <c r="G46" s="411"/>
      <c r="H46" s="411"/>
      <c r="I46" s="411"/>
      <c r="J46" s="411"/>
      <c r="K46" s="411"/>
      <c r="L46" s="411"/>
      <c r="M46" s="411">
        <f>-[25]ACTIVOS!H60/2+D10*I28</f>
        <v>4765.1307943951715</v>
      </c>
      <c r="N46" s="412">
        <f>-[25]ACTIVOS!H60/2+D10*I29</f>
        <v>4765.1307943951715</v>
      </c>
      <c r="Q46" s="103"/>
      <c r="R46" s="411"/>
      <c r="S46" s="411"/>
      <c r="T46" s="411"/>
      <c r="U46" s="411"/>
      <c r="V46" s="411"/>
      <c r="W46" s="411"/>
      <c r="X46" s="411"/>
      <c r="Y46" s="411"/>
      <c r="Z46" s="411">
        <v>4281.8674497225002</v>
      </c>
      <c r="AA46" s="412">
        <v>4281.8674497225002</v>
      </c>
      <c r="AD46" s="103"/>
      <c r="AE46" s="411"/>
      <c r="AF46" s="411"/>
      <c r="AG46" s="411"/>
      <c r="AH46" s="411"/>
      <c r="AI46" s="411"/>
      <c r="AJ46" s="411"/>
      <c r="AK46" s="411"/>
      <c r="AL46" s="411"/>
      <c r="AM46" s="411">
        <f t="shared" si="3"/>
        <v>483.26334467267134</v>
      </c>
      <c r="AN46" s="412">
        <f t="shared" si="3"/>
        <v>483.26334467267134</v>
      </c>
    </row>
    <row r="47" spans="2:40">
      <c r="B47" s="102" t="s">
        <v>61</v>
      </c>
      <c r="C47" s="103" t="s">
        <v>45</v>
      </c>
      <c r="D47" s="127"/>
      <c r="E47" s="411"/>
      <c r="F47" s="411"/>
      <c r="G47" s="411"/>
      <c r="H47" s="418"/>
      <c r="I47" s="418"/>
      <c r="J47" s="418"/>
      <c r="K47" s="418"/>
      <c r="L47" s="418"/>
      <c r="M47" s="418">
        <f>$D$11*(H18/2+I28)</f>
        <v>9748.384893868224</v>
      </c>
      <c r="N47" s="419">
        <f>$D$11*(H18/2+I29)</f>
        <v>9748.384893868224</v>
      </c>
      <c r="Q47" s="103"/>
      <c r="R47" s="411"/>
      <c r="S47" s="411"/>
      <c r="T47" s="411"/>
      <c r="U47" s="418"/>
      <c r="V47" s="418"/>
      <c r="W47" s="418"/>
      <c r="X47" s="418"/>
      <c r="Y47" s="418"/>
      <c r="Z47" s="418">
        <v>11275.584284269249</v>
      </c>
      <c r="AA47" s="419">
        <v>11275.584284269249</v>
      </c>
      <c r="AD47" s="103"/>
      <c r="AE47" s="411"/>
      <c r="AF47" s="411"/>
      <c r="AG47" s="411"/>
      <c r="AH47" s="418"/>
      <c r="AI47" s="418"/>
      <c r="AJ47" s="418"/>
      <c r="AK47" s="418"/>
      <c r="AL47" s="418"/>
      <c r="AM47" s="418">
        <f t="shared" si="3"/>
        <v>-1527.1993904010251</v>
      </c>
      <c r="AN47" s="419">
        <f t="shared" si="3"/>
        <v>-1527.1993904010251</v>
      </c>
    </row>
    <row r="48" spans="2:40" ht="13" thickBot="1">
      <c r="B48" s="119"/>
      <c r="C48" s="120"/>
      <c r="D48" s="129"/>
      <c r="E48" s="130"/>
      <c r="F48" s="130"/>
      <c r="G48" s="130"/>
      <c r="H48" s="130"/>
      <c r="I48" s="130"/>
      <c r="J48" s="130"/>
      <c r="K48" s="130"/>
      <c r="L48" s="130"/>
      <c r="M48" s="130"/>
      <c r="N48" s="131"/>
      <c r="Q48" s="120"/>
      <c r="R48" s="130"/>
      <c r="S48" s="130"/>
      <c r="T48" s="130"/>
      <c r="U48" s="130"/>
      <c r="V48" s="130"/>
      <c r="W48" s="130"/>
      <c r="X48" s="130"/>
      <c r="Y48" s="130"/>
      <c r="Z48" s="130">
        <v>0</v>
      </c>
      <c r="AA48" s="131">
        <v>0</v>
      </c>
      <c r="AD48" s="120"/>
      <c r="AE48" s="130"/>
      <c r="AF48" s="130"/>
      <c r="AG48" s="130"/>
      <c r="AH48" s="130"/>
      <c r="AI48" s="130"/>
      <c r="AJ48" s="130"/>
      <c r="AK48" s="130"/>
      <c r="AL48" s="130"/>
      <c r="AM48" s="130">
        <f t="shared" si="3"/>
        <v>0</v>
      </c>
      <c r="AN48" s="131">
        <f t="shared" si="3"/>
        <v>0</v>
      </c>
    </row>
    <row r="49" spans="2:40" ht="13">
      <c r="B49" s="74" t="s">
        <v>62</v>
      </c>
      <c r="C49" s="128"/>
      <c r="D49" s="128"/>
      <c r="E49" s="415">
        <f>SUM(E50:E53)</f>
        <v>675.98283222782993</v>
      </c>
      <c r="F49" s="415">
        <f t="shared" ref="F49:N49" si="7">SUM(F50:F53)</f>
        <v>675.98283222782993</v>
      </c>
      <c r="G49" s="415">
        <f t="shared" si="7"/>
        <v>649.88983322522097</v>
      </c>
      <c r="H49" s="415">
        <f t="shared" si="7"/>
        <v>649.88983322522097</v>
      </c>
      <c r="I49" s="415">
        <f t="shared" si="7"/>
        <v>970.98654300693693</v>
      </c>
      <c r="J49" s="415">
        <f t="shared" si="7"/>
        <v>1331.8354082834503</v>
      </c>
      <c r="K49" s="415">
        <f t="shared" si="7"/>
        <v>1396.2930352200033</v>
      </c>
      <c r="L49" s="415">
        <f t="shared" si="7"/>
        <v>1396.2930352200033</v>
      </c>
      <c r="M49" s="415">
        <f t="shared" si="7"/>
        <v>1353.5539602173944</v>
      </c>
      <c r="N49" s="416">
        <f t="shared" si="7"/>
        <v>1353.5539602173944</v>
      </c>
      <c r="Q49" s="107"/>
      <c r="R49" s="415">
        <v>1502.9898140613573</v>
      </c>
      <c r="S49" s="415">
        <v>1695.1697390613572</v>
      </c>
      <c r="T49" s="415">
        <v>2052.1250892267144</v>
      </c>
      <c r="U49" s="415">
        <v>2586.6094392267141</v>
      </c>
      <c r="V49" s="415">
        <v>2546.4142293920713</v>
      </c>
      <c r="W49" s="415">
        <v>2546.4142293920713</v>
      </c>
      <c r="X49" s="415">
        <v>2496.9795745574288</v>
      </c>
      <c r="Y49" s="415">
        <v>2496.9795745574288</v>
      </c>
      <c r="Z49" s="415">
        <v>2447.5449197227858</v>
      </c>
      <c r="AA49" s="416">
        <v>2447.5449197227858</v>
      </c>
      <c r="AD49" s="107"/>
      <c r="AE49" s="415">
        <f t="shared" si="4"/>
        <v>-827.00698183352733</v>
      </c>
      <c r="AF49" s="415">
        <f t="shared" si="3"/>
        <v>-1019.1869068335272</v>
      </c>
      <c r="AG49" s="415">
        <f t="shared" si="3"/>
        <v>-1402.2352560014933</v>
      </c>
      <c r="AH49" s="415">
        <f t="shared" si="3"/>
        <v>-1936.719606001493</v>
      </c>
      <c r="AI49" s="415">
        <f t="shared" si="3"/>
        <v>-1575.4276863851344</v>
      </c>
      <c r="AJ49" s="415">
        <f t="shared" si="3"/>
        <v>-1214.578821108621</v>
      </c>
      <c r="AK49" s="415">
        <f t="shared" si="3"/>
        <v>-1100.6865393374255</v>
      </c>
      <c r="AL49" s="415">
        <f t="shared" si="3"/>
        <v>-1100.6865393374255</v>
      </c>
      <c r="AM49" s="415">
        <f t="shared" si="3"/>
        <v>-1093.9909595053914</v>
      </c>
      <c r="AN49" s="416">
        <f t="shared" si="3"/>
        <v>-1093.9909595053914</v>
      </c>
    </row>
    <row r="50" spans="2:40">
      <c r="B50" s="102" t="s">
        <v>58</v>
      </c>
      <c r="C50" s="98" t="s">
        <v>45</v>
      </c>
      <c r="D50" s="127"/>
      <c r="E50" s="411">
        <f>E8*(D$24/2+E$30)</f>
        <v>0</v>
      </c>
      <c r="F50" s="411">
        <f>E8*(D$24/2+E$31)</f>
        <v>0</v>
      </c>
      <c r="G50" s="411">
        <f>F8*(E$24/2+F$30)</f>
        <v>0</v>
      </c>
      <c r="H50" s="411">
        <f>F8*(E$24/2+F$31)</f>
        <v>0</v>
      </c>
      <c r="I50" s="411">
        <f>G8*(F$24/2+G$30)</f>
        <v>48.601299999999995</v>
      </c>
      <c r="J50" s="411">
        <f>G8*(F$24/2+G$31)</f>
        <v>99.114675000000005</v>
      </c>
      <c r="K50" s="411">
        <f>H8*(G$24/2+H$30)</f>
        <v>0</v>
      </c>
      <c r="L50" s="411">
        <f>H8*(G$24/2+H$31)</f>
        <v>0</v>
      </c>
      <c r="M50" s="411">
        <f>I8*(H$24/2+I$30)</f>
        <v>0</v>
      </c>
      <c r="N50" s="412">
        <f>I8*(H$24/2+I$31)</f>
        <v>0</v>
      </c>
      <c r="Q50" s="103"/>
      <c r="R50" s="411">
        <v>564.17861780216469</v>
      </c>
      <c r="S50" s="411">
        <v>592.63414280216466</v>
      </c>
      <c r="T50" s="411">
        <v>649.95626780216469</v>
      </c>
      <c r="U50" s="411">
        <v>729.09581780216456</v>
      </c>
      <c r="V50" s="411">
        <v>729.09581780216456</v>
      </c>
      <c r="W50" s="411">
        <v>729.09581780216456</v>
      </c>
      <c r="X50" s="411">
        <v>729.09581780216456</v>
      </c>
      <c r="Y50" s="411">
        <v>729.09581780216456</v>
      </c>
      <c r="Z50" s="411">
        <v>729.09581780216456</v>
      </c>
      <c r="AA50" s="412">
        <v>729.09581780216456</v>
      </c>
      <c r="AD50" s="103"/>
      <c r="AE50" s="411">
        <f t="shared" si="4"/>
        <v>-564.17861780216469</v>
      </c>
      <c r="AF50" s="411">
        <f t="shared" si="3"/>
        <v>-592.63414280216466</v>
      </c>
      <c r="AG50" s="411">
        <f t="shared" si="3"/>
        <v>-649.95626780216469</v>
      </c>
      <c r="AH50" s="411">
        <f t="shared" si="3"/>
        <v>-729.09581780216456</v>
      </c>
      <c r="AI50" s="411">
        <f t="shared" si="3"/>
        <v>-680.49451780216452</v>
      </c>
      <c r="AJ50" s="411">
        <f t="shared" si="3"/>
        <v>-629.98114280216453</v>
      </c>
      <c r="AK50" s="411">
        <f t="shared" si="3"/>
        <v>-729.09581780216456</v>
      </c>
      <c r="AL50" s="411">
        <f t="shared" si="3"/>
        <v>-729.09581780216456</v>
      </c>
      <c r="AM50" s="411">
        <f t="shared" si="3"/>
        <v>-729.09581780216456</v>
      </c>
      <c r="AN50" s="412">
        <f t="shared" si="3"/>
        <v>-729.09581780216456</v>
      </c>
    </row>
    <row r="51" spans="2:40">
      <c r="B51" s="102" t="s">
        <v>59</v>
      </c>
      <c r="C51" s="103" t="s">
        <v>45</v>
      </c>
      <c r="D51" s="127"/>
      <c r="E51" s="411">
        <f>E9*(D$24/2+E$30)</f>
        <v>0</v>
      </c>
      <c r="F51" s="411">
        <f>E9*(D$24/2+E$31)</f>
        <v>0</v>
      </c>
      <c r="G51" s="411">
        <f>F9*(E$24/2+F$30)</f>
        <v>0</v>
      </c>
      <c r="H51" s="411">
        <f>F9*(E$24/2+F$31)</f>
        <v>0</v>
      </c>
      <c r="I51" s="411">
        <f>G9*(F$24/2+G$30)</f>
        <v>34.306799999999996</v>
      </c>
      <c r="J51" s="411">
        <f>G9*(F$24/2+G$31)</f>
        <v>69.963300000000004</v>
      </c>
      <c r="K51" s="411">
        <f>H9*(G$24/2+H$30)</f>
        <v>0</v>
      </c>
      <c r="L51" s="411">
        <f>H9*(G$24/2+H$31)</f>
        <v>0</v>
      </c>
      <c r="M51" s="411">
        <f>I9*(H$24/2+I$30)</f>
        <v>0</v>
      </c>
      <c r="N51" s="412">
        <f>I9*(H$24/2+I$31)</f>
        <v>0</v>
      </c>
      <c r="Q51" s="103"/>
      <c r="R51" s="411">
        <v>216.77799107669381</v>
      </c>
      <c r="S51" s="411">
        <v>227.71164107669381</v>
      </c>
      <c r="T51" s="411">
        <v>249.73689107669381</v>
      </c>
      <c r="U51" s="411">
        <v>280.14519107669378</v>
      </c>
      <c r="V51" s="411">
        <v>280.14519107669378</v>
      </c>
      <c r="W51" s="411">
        <v>280.14519107669378</v>
      </c>
      <c r="X51" s="411">
        <v>280.14519107669378</v>
      </c>
      <c r="Y51" s="411">
        <v>280.14519107669378</v>
      </c>
      <c r="Z51" s="411">
        <v>280.14519107669378</v>
      </c>
      <c r="AA51" s="412">
        <v>280.14519107669378</v>
      </c>
      <c r="AD51" s="103"/>
      <c r="AE51" s="411">
        <f t="shared" si="4"/>
        <v>-216.77799107669381</v>
      </c>
      <c r="AF51" s="411">
        <f t="shared" si="4"/>
        <v>-227.71164107669381</v>
      </c>
      <c r="AG51" s="411">
        <f t="shared" si="4"/>
        <v>-249.73689107669381</v>
      </c>
      <c r="AH51" s="411">
        <f t="shared" si="4"/>
        <v>-280.14519107669378</v>
      </c>
      <c r="AI51" s="411">
        <f t="shared" si="4"/>
        <v>-245.83839107669377</v>
      </c>
      <c r="AJ51" s="411">
        <f t="shared" si="4"/>
        <v>-210.18189107669377</v>
      </c>
      <c r="AK51" s="411">
        <f t="shared" si="4"/>
        <v>-280.14519107669378</v>
      </c>
      <c r="AL51" s="411">
        <f t="shared" si="4"/>
        <v>-280.14519107669378</v>
      </c>
      <c r="AM51" s="411">
        <f t="shared" si="4"/>
        <v>-280.14519107669378</v>
      </c>
      <c r="AN51" s="412">
        <f t="shared" si="4"/>
        <v>-280.14519107669378</v>
      </c>
    </row>
    <row r="52" spans="2:40">
      <c r="B52" s="102" t="s">
        <v>60</v>
      </c>
      <c r="C52" s="103" t="s">
        <v>45</v>
      </c>
      <c r="D52" s="127"/>
      <c r="E52" s="411">
        <f>-[25]ACTIVOS!D116/2+D10*E30</f>
        <v>382.03512448914898</v>
      </c>
      <c r="F52" s="411">
        <f>-[25]ACTIVOS!D116/2+D10*E31</f>
        <v>382.03512448914898</v>
      </c>
      <c r="G52" s="411">
        <f>-[25]ACTIVOS!E116/2+D10*F30</f>
        <v>382.03512448914898</v>
      </c>
      <c r="H52" s="411">
        <f>-[25]ACTIVOS!E116/2+D10*F31</f>
        <v>382.03512448914898</v>
      </c>
      <c r="I52" s="411">
        <f>-[25]ACTIVOS!F116/2+D10*G30</f>
        <v>468.80503327347395</v>
      </c>
      <c r="J52" s="411">
        <f>-[25]ACTIVOS!F116/2+D10*G31</f>
        <v>558.98864854998715</v>
      </c>
      <c r="K52" s="411">
        <f>-[25]ACTIVOS!G116/2+D10*H30</f>
        <v>625.75512448914901</v>
      </c>
      <c r="L52" s="411">
        <f>-[25]ACTIVOS!G116/2+D10*H31</f>
        <v>625.75512448914901</v>
      </c>
      <c r="M52" s="411">
        <f>-[25]ACTIVOS!H116/2+D10*I30</f>
        <v>625.75512448914901</v>
      </c>
      <c r="N52" s="412">
        <f>-[25]ACTIVOS!H116/2+D10*I31</f>
        <v>625.75512448914901</v>
      </c>
      <c r="Q52" s="103"/>
      <c r="R52" s="411">
        <v>382.03512448914898</v>
      </c>
      <c r="S52" s="411">
        <v>424.08762448914899</v>
      </c>
      <c r="T52" s="411">
        <v>508.80012448914897</v>
      </c>
      <c r="U52" s="411">
        <v>625.75512448914901</v>
      </c>
      <c r="V52" s="411">
        <v>625.75512448914901</v>
      </c>
      <c r="W52" s="411">
        <v>625.75512448914901</v>
      </c>
      <c r="X52" s="411">
        <v>625.75512448914901</v>
      </c>
      <c r="Y52" s="411">
        <v>625.75512448914901</v>
      </c>
      <c r="Z52" s="411">
        <v>625.75512448914901</v>
      </c>
      <c r="AA52" s="412">
        <v>625.75512448914901</v>
      </c>
      <c r="AD52" s="103"/>
      <c r="AE52" s="411">
        <f t="shared" si="4"/>
        <v>0</v>
      </c>
      <c r="AF52" s="411">
        <f t="shared" si="4"/>
        <v>-42.052500000000009</v>
      </c>
      <c r="AG52" s="411">
        <f t="shared" si="4"/>
        <v>-126.76499999999999</v>
      </c>
      <c r="AH52" s="411">
        <f t="shared" si="4"/>
        <v>-243.72000000000003</v>
      </c>
      <c r="AI52" s="411">
        <f t="shared" si="4"/>
        <v>-156.95009121567506</v>
      </c>
      <c r="AJ52" s="411">
        <f t="shared" si="4"/>
        <v>-66.766475939161865</v>
      </c>
      <c r="AK52" s="411">
        <f t="shared" si="4"/>
        <v>0</v>
      </c>
      <c r="AL52" s="411">
        <f t="shared" si="4"/>
        <v>0</v>
      </c>
      <c r="AM52" s="411">
        <f t="shared" si="4"/>
        <v>0</v>
      </c>
      <c r="AN52" s="412">
        <f t="shared" si="4"/>
        <v>0</v>
      </c>
    </row>
    <row r="53" spans="2:40">
      <c r="B53" s="106" t="s">
        <v>61</v>
      </c>
      <c r="C53" s="107" t="s">
        <v>45</v>
      </c>
      <c r="D53" s="128"/>
      <c r="E53" s="413">
        <f>+$D$11*(D19/2+E30)</f>
        <v>293.94770773868089</v>
      </c>
      <c r="F53" s="413">
        <f>+$D$11*(D19/2+E31)</f>
        <v>293.94770773868089</v>
      </c>
      <c r="G53" s="413">
        <f>+$D$11*(E19/2+F30)</f>
        <v>267.85470873607198</v>
      </c>
      <c r="H53" s="413">
        <f>+$D$11*(E19/2+F31)</f>
        <v>267.85470873607198</v>
      </c>
      <c r="I53" s="413">
        <f>+$D$11*(F19/2+G30)</f>
        <v>419.27340973346304</v>
      </c>
      <c r="J53" s="413">
        <f>+$D$11*(F19/2+G31)</f>
        <v>603.76878473346301</v>
      </c>
      <c r="K53" s="413">
        <f>+$D$11*(G19/2+H30)</f>
        <v>770.53791073085426</v>
      </c>
      <c r="L53" s="413">
        <f>+$D$11*(G19/2+H31)</f>
        <v>770.53791073085426</v>
      </c>
      <c r="M53" s="413">
        <f>+$D$11*(H19/2+I30)</f>
        <v>727.79883572824531</v>
      </c>
      <c r="N53" s="414">
        <f>+$D$11*(H19/2+I31)</f>
        <v>727.79883572824531</v>
      </c>
      <c r="Q53" s="107"/>
      <c r="R53" s="413">
        <v>339.99808069334978</v>
      </c>
      <c r="S53" s="413">
        <v>450.73633069334977</v>
      </c>
      <c r="T53" s="413">
        <v>643.63180585870703</v>
      </c>
      <c r="U53" s="413">
        <v>951.61330585870701</v>
      </c>
      <c r="V53" s="413">
        <v>911.4180960240642</v>
      </c>
      <c r="W53" s="413">
        <v>911.4180960240642</v>
      </c>
      <c r="X53" s="413">
        <v>861.98344118942157</v>
      </c>
      <c r="Y53" s="413">
        <v>861.98344118942157</v>
      </c>
      <c r="Z53" s="413">
        <v>812.5487863547786</v>
      </c>
      <c r="AA53" s="414">
        <v>812.5487863547786</v>
      </c>
      <c r="AD53" s="107"/>
      <c r="AE53" s="413">
        <f t="shared" si="4"/>
        <v>-46.050372954668887</v>
      </c>
      <c r="AF53" s="413">
        <f t="shared" si="4"/>
        <v>-156.78862295466888</v>
      </c>
      <c r="AG53" s="413">
        <f t="shared" si="4"/>
        <v>-375.77709712263504</v>
      </c>
      <c r="AH53" s="413">
        <f t="shared" si="4"/>
        <v>-683.75859712263502</v>
      </c>
      <c r="AI53" s="413">
        <f t="shared" si="4"/>
        <v>-492.14468629060116</v>
      </c>
      <c r="AJ53" s="413">
        <f t="shared" si="4"/>
        <v>-307.64931129060119</v>
      </c>
      <c r="AK53" s="413">
        <f t="shared" si="4"/>
        <v>-91.445530458567305</v>
      </c>
      <c r="AL53" s="413">
        <f t="shared" si="4"/>
        <v>-91.445530458567305</v>
      </c>
      <c r="AM53" s="413">
        <f t="shared" si="4"/>
        <v>-84.749950626533291</v>
      </c>
      <c r="AN53" s="414">
        <f t="shared" si="4"/>
        <v>-84.749950626533291</v>
      </c>
    </row>
    <row r="54" spans="2:40">
      <c r="B54" s="102"/>
      <c r="C54" s="107"/>
      <c r="D54" s="127"/>
      <c r="E54" s="411"/>
      <c r="F54" s="411"/>
      <c r="G54" s="411"/>
      <c r="H54" s="411"/>
      <c r="J54" s="411"/>
      <c r="K54" s="411"/>
      <c r="L54" s="411"/>
      <c r="M54" s="411"/>
      <c r="N54" s="412"/>
      <c r="Q54" s="103"/>
      <c r="R54" s="411"/>
      <c r="S54" s="411"/>
      <c r="T54" s="411"/>
      <c r="U54" s="411"/>
      <c r="W54" s="411"/>
      <c r="X54" s="411"/>
      <c r="Y54" s="411"/>
      <c r="Z54" s="411"/>
      <c r="AA54" s="412"/>
      <c r="AD54" s="103"/>
      <c r="AE54" s="411">
        <f t="shared" si="4"/>
        <v>0</v>
      </c>
      <c r="AF54" s="411">
        <f t="shared" si="4"/>
        <v>0</v>
      </c>
      <c r="AG54" s="411">
        <f t="shared" si="4"/>
        <v>0</v>
      </c>
      <c r="AH54" s="411">
        <f t="shared" si="4"/>
        <v>0</v>
      </c>
      <c r="AI54">
        <f t="shared" si="4"/>
        <v>0</v>
      </c>
      <c r="AJ54" s="411">
        <f t="shared" si="4"/>
        <v>0</v>
      </c>
      <c r="AK54" s="411">
        <f t="shared" si="4"/>
        <v>0</v>
      </c>
      <c r="AL54" s="411">
        <f t="shared" si="4"/>
        <v>0</v>
      </c>
      <c r="AM54" s="411">
        <f t="shared" si="4"/>
        <v>0</v>
      </c>
      <c r="AN54" s="412">
        <f t="shared" si="4"/>
        <v>0</v>
      </c>
    </row>
    <row r="55" spans="2:40" ht="13">
      <c r="B55" s="14" t="s">
        <v>63</v>
      </c>
      <c r="C55" s="125"/>
      <c r="D55" s="125"/>
      <c r="E55" s="420">
        <f>SUM(E56:E57)</f>
        <v>3853.1640211449994</v>
      </c>
      <c r="F55" s="420">
        <f t="shared" ref="F55:N55" si="8">SUM(F56:F57)</f>
        <v>4188.8260098570699</v>
      </c>
      <c r="G55" s="420">
        <f t="shared" si="8"/>
        <v>5353.8598303279296</v>
      </c>
      <c r="H55" s="420">
        <f t="shared" si="8"/>
        <v>5216.1435990399996</v>
      </c>
      <c r="I55" s="420">
        <f t="shared" si="8"/>
        <v>8140.9753925249997</v>
      </c>
      <c r="J55" s="420">
        <f t="shared" si="8"/>
        <v>5331.5353925250001</v>
      </c>
      <c r="K55" s="420">
        <f t="shared" si="8"/>
        <v>5481.7574360099998</v>
      </c>
      <c r="L55" s="420">
        <f t="shared" si="8"/>
        <v>5945.1574360099994</v>
      </c>
      <c r="M55" s="420">
        <f t="shared" si="8"/>
        <v>5875.024937369999</v>
      </c>
      <c r="N55" s="421">
        <f t="shared" si="8"/>
        <v>5133.2249373699997</v>
      </c>
      <c r="Q55" s="498"/>
      <c r="R55" s="420">
        <v>4019.8161957799994</v>
      </c>
      <c r="S55" s="420">
        <v>5447.685305779999</v>
      </c>
      <c r="T55" s="420">
        <v>4875.9830943399993</v>
      </c>
      <c r="U55" s="420">
        <v>5168.3430943399999</v>
      </c>
      <c r="V55" s="420">
        <v>8116.6662192999993</v>
      </c>
      <c r="W55" s="420">
        <v>5122.2262192999997</v>
      </c>
      <c r="X55" s="420">
        <v>5387.0735942599995</v>
      </c>
      <c r="Y55" s="420">
        <v>5770.4735942599991</v>
      </c>
      <c r="Z55" s="420">
        <v>5875.024937369999</v>
      </c>
      <c r="AA55" s="421">
        <v>5133.2249373699997</v>
      </c>
      <c r="AD55" s="498"/>
      <c r="AE55" s="420">
        <f t="shared" si="4"/>
        <v>-166.65217463499994</v>
      </c>
      <c r="AF55" s="420">
        <f t="shared" si="4"/>
        <v>-1258.859295922929</v>
      </c>
      <c r="AG55" s="420">
        <f t="shared" si="4"/>
        <v>477.87673598793026</v>
      </c>
      <c r="AH55" s="420">
        <f t="shared" si="4"/>
        <v>47.800504699999692</v>
      </c>
      <c r="AI55" s="420">
        <f t="shared" si="4"/>
        <v>24.30917322500045</v>
      </c>
      <c r="AJ55" s="420">
        <f t="shared" si="4"/>
        <v>209.30917322500045</v>
      </c>
      <c r="AK55" s="420">
        <f t="shared" si="4"/>
        <v>94.683841750000283</v>
      </c>
      <c r="AL55" s="420">
        <f t="shared" si="4"/>
        <v>174.68384175000028</v>
      </c>
      <c r="AM55" s="420">
        <f t="shared" si="4"/>
        <v>0</v>
      </c>
      <c r="AN55" s="421">
        <f t="shared" si="4"/>
        <v>0</v>
      </c>
    </row>
    <row r="56" spans="2:40">
      <c r="B56" s="102" t="s">
        <v>71</v>
      </c>
      <c r="C56" s="98" t="s">
        <v>45</v>
      </c>
      <c r="D56" s="422"/>
      <c r="E56" s="423">
        <f>[25]CND!B9</f>
        <v>2202.5441297199995</v>
      </c>
      <c r="F56" s="423">
        <f>[25]CND!C9</f>
        <v>2620.1873784320696</v>
      </c>
      <c r="G56" s="423">
        <f>[25]CND!D9</f>
        <v>3675.7503826279299</v>
      </c>
      <c r="H56" s="423">
        <f>[25]CND!E9</f>
        <v>3502.4341513399995</v>
      </c>
      <c r="I56" s="423">
        <f>[25]CND!F9</f>
        <v>3541.1801621499999</v>
      </c>
      <c r="J56" s="423">
        <f>[25]CND!G9</f>
        <v>3276.7801621499998</v>
      </c>
      <c r="K56" s="423">
        <f>[25]CND!H9</f>
        <v>3096.8921729599997</v>
      </c>
      <c r="L56" s="423">
        <f>[25]CND!I9</f>
        <v>3862.4921729599996</v>
      </c>
      <c r="M56" s="423">
        <f>[25]CND!J9</f>
        <v>3206.7041837699994</v>
      </c>
      <c r="N56" s="424">
        <f>[25]CND!K9</f>
        <v>3057.6041837699995</v>
      </c>
      <c r="Q56" s="463"/>
      <c r="R56" s="423">
        <v>2367.7561405299994</v>
      </c>
      <c r="S56" s="423">
        <v>3763.125250529999</v>
      </c>
      <c r="T56" s="423">
        <v>3086.7081513399999</v>
      </c>
      <c r="U56" s="423">
        <v>3453.5681513399995</v>
      </c>
      <c r="V56" s="423">
        <v>3516.1801621499999</v>
      </c>
      <c r="W56" s="423">
        <v>3066.7801621499998</v>
      </c>
      <c r="X56" s="423">
        <v>3001.8921729599997</v>
      </c>
      <c r="Y56" s="423">
        <v>3687.4921729599996</v>
      </c>
      <c r="Z56" s="423">
        <v>3206.7041837699994</v>
      </c>
      <c r="AA56" s="424">
        <v>3057.6041837699995</v>
      </c>
      <c r="AD56" s="463"/>
      <c r="AE56" s="423">
        <f t="shared" si="4"/>
        <v>-165.21201080999981</v>
      </c>
      <c r="AF56" s="423">
        <f t="shared" si="4"/>
        <v>-1142.9378720979294</v>
      </c>
      <c r="AG56" s="423">
        <f t="shared" si="4"/>
        <v>589.04223128793001</v>
      </c>
      <c r="AH56" s="423">
        <f t="shared" si="4"/>
        <v>48.865999999999985</v>
      </c>
      <c r="AI56" s="423">
        <f t="shared" si="4"/>
        <v>25</v>
      </c>
      <c r="AJ56" s="423">
        <f t="shared" si="4"/>
        <v>210</v>
      </c>
      <c r="AK56" s="423">
        <f t="shared" si="4"/>
        <v>95</v>
      </c>
      <c r="AL56" s="423">
        <f t="shared" si="4"/>
        <v>175</v>
      </c>
      <c r="AM56" s="423">
        <f t="shared" si="4"/>
        <v>0</v>
      </c>
      <c r="AN56" s="424">
        <f t="shared" si="4"/>
        <v>0</v>
      </c>
    </row>
    <row r="57" spans="2:40">
      <c r="B57" s="102" t="s">
        <v>64</v>
      </c>
      <c r="C57" s="103" t="s">
        <v>45</v>
      </c>
      <c r="D57" s="422"/>
      <c r="E57" s="425">
        <f>[25]HID!B8/1000+(-[25]ACTIVOS!D145+$D$11*D20)/2</f>
        <v>1650.6198914250001</v>
      </c>
      <c r="F57" s="425">
        <f>[25]HID!C8/1000+(-[25]ACTIVOS!D145+$D$11*D20)/2</f>
        <v>1568.6386314250001</v>
      </c>
      <c r="G57" s="425">
        <f>[25]HID!D8/1000+(-[25]ACTIVOS!E145+$D$11*E20)/2</f>
        <v>1678.1094476999999</v>
      </c>
      <c r="H57" s="425">
        <f>[25]HID!E8/1000+(-[25]ACTIVOS!E145+$D$11*E20)/2</f>
        <v>1713.7094476999998</v>
      </c>
      <c r="I57" s="425">
        <f>[25]HID!F8/1000+(-[25]ACTIVOS!F145+$D$11*F20)/2</f>
        <v>4599.7952303749998</v>
      </c>
      <c r="J57" s="425">
        <f>[25]HID!G8/1000+(-[25]ACTIVOS!F145+$D$11*F20)/2</f>
        <v>2054.7552303749999</v>
      </c>
      <c r="K57" s="425">
        <f>[25]HID!H8/1000+(-[25]ACTIVOS!G145+$D$11*G20)/2</f>
        <v>2384.8652630500001</v>
      </c>
      <c r="L57" s="425">
        <f>[25]HID!I8/1000+(-[25]ACTIVOS!G145+$D$11*G20)/2</f>
        <v>2082.6652630499998</v>
      </c>
      <c r="M57" s="425">
        <f>[25]HID!J8/1000+(-[25]ACTIVOS!H145+$D$11*H20)/2</f>
        <v>2668.3207535999995</v>
      </c>
      <c r="N57" s="426">
        <f>[25]HID!K8/1000+(-[25]ACTIVOS!H145+$D$11*H20)/2</f>
        <v>2075.6207535999997</v>
      </c>
      <c r="O57" s="132"/>
      <c r="Q57" s="463"/>
      <c r="R57" s="425">
        <v>1652.0600552500002</v>
      </c>
      <c r="S57" s="425">
        <v>1684.5600552500002</v>
      </c>
      <c r="T57" s="425">
        <v>1789.2749429999999</v>
      </c>
      <c r="U57" s="425">
        <v>1714.7749429999999</v>
      </c>
      <c r="V57" s="425">
        <v>4600.4860571499994</v>
      </c>
      <c r="W57" s="425">
        <v>2055.4460571499999</v>
      </c>
      <c r="X57" s="425">
        <v>2385.1814212999998</v>
      </c>
      <c r="Y57" s="425">
        <v>2082.9814212999995</v>
      </c>
      <c r="Z57" s="425">
        <v>2668.3207535999995</v>
      </c>
      <c r="AA57" s="426">
        <v>2075.6207535999997</v>
      </c>
      <c r="AD57" s="463"/>
      <c r="AE57" s="425">
        <f t="shared" si="4"/>
        <v>-1.440163825000127</v>
      </c>
      <c r="AF57" s="425">
        <f t="shared" si="4"/>
        <v>-115.92142382500015</v>
      </c>
      <c r="AG57" s="425">
        <f t="shared" si="4"/>
        <v>-111.16549529999998</v>
      </c>
      <c r="AH57" s="425">
        <f t="shared" si="4"/>
        <v>-1.065495300000066</v>
      </c>
      <c r="AI57" s="425">
        <f t="shared" si="4"/>
        <v>-0.69082677499955025</v>
      </c>
      <c r="AJ57" s="425">
        <f t="shared" si="4"/>
        <v>-0.690826775000005</v>
      </c>
      <c r="AK57" s="425">
        <f t="shared" si="4"/>
        <v>-0.31615824999971665</v>
      </c>
      <c r="AL57" s="425">
        <f t="shared" si="4"/>
        <v>-0.31615824999971665</v>
      </c>
      <c r="AM57" s="425">
        <f t="shared" si="4"/>
        <v>0</v>
      </c>
      <c r="AN57" s="426">
        <f t="shared" si="4"/>
        <v>0</v>
      </c>
    </row>
    <row r="58" spans="2:40">
      <c r="B58" s="102"/>
      <c r="C58" s="107"/>
      <c r="D58" s="127"/>
      <c r="E58" s="134"/>
      <c r="F58" s="134"/>
      <c r="G58" s="134"/>
      <c r="H58" s="134"/>
      <c r="I58" s="134"/>
      <c r="J58" s="135"/>
      <c r="K58" s="135"/>
      <c r="L58" s="135"/>
      <c r="M58" s="135"/>
      <c r="N58" s="136"/>
      <c r="Q58" s="103"/>
      <c r="R58" s="134"/>
      <c r="S58" s="134"/>
      <c r="T58" s="134"/>
      <c r="U58" s="134"/>
      <c r="V58" s="134"/>
      <c r="W58" s="135"/>
      <c r="X58" s="135"/>
      <c r="Y58" s="135"/>
      <c r="Z58" s="135"/>
      <c r="AA58" s="136"/>
      <c r="AD58" s="103"/>
      <c r="AE58" s="134">
        <f t="shared" si="4"/>
        <v>0</v>
      </c>
      <c r="AF58" s="134">
        <f t="shared" si="4"/>
        <v>0</v>
      </c>
      <c r="AG58" s="134">
        <f t="shared" si="4"/>
        <v>0</v>
      </c>
      <c r="AH58" s="134">
        <f t="shared" si="4"/>
        <v>0</v>
      </c>
      <c r="AI58" s="134">
        <f t="shared" si="4"/>
        <v>0</v>
      </c>
      <c r="AJ58" s="135">
        <f t="shared" si="4"/>
        <v>0</v>
      </c>
      <c r="AK58" s="135">
        <f t="shared" si="4"/>
        <v>0</v>
      </c>
      <c r="AL58" s="135">
        <f t="shared" si="4"/>
        <v>0</v>
      </c>
      <c r="AM58" s="135">
        <f t="shared" si="4"/>
        <v>0</v>
      </c>
      <c r="AN58" s="136">
        <f t="shared" si="4"/>
        <v>0</v>
      </c>
    </row>
    <row r="59" spans="2:40" ht="13.5" thickBot="1">
      <c r="B59" s="16" t="s">
        <v>2</v>
      </c>
      <c r="C59" s="120" t="s">
        <v>45</v>
      </c>
      <c r="D59" s="137"/>
      <c r="E59" s="427">
        <f t="shared" ref="E59:N59" si="9">E35+E49+E55</f>
        <v>17376.102625773361</v>
      </c>
      <c r="F59" s="427">
        <f t="shared" si="9"/>
        <v>18291.229283978293</v>
      </c>
      <c r="G59" s="427">
        <f t="shared" si="9"/>
        <v>19338.622852609955</v>
      </c>
      <c r="H59" s="427">
        <f t="shared" si="9"/>
        <v>20445.176940160181</v>
      </c>
      <c r="I59" s="427">
        <f t="shared" si="9"/>
        <v>25934.744866791345</v>
      </c>
      <c r="J59" s="427">
        <f t="shared" si="9"/>
        <v>25464.382239090366</v>
      </c>
      <c r="K59" s="427">
        <f t="shared" si="9"/>
        <v>25572.596574844716</v>
      </c>
      <c r="L59" s="427">
        <f t="shared" si="9"/>
        <v>28351.724937657611</v>
      </c>
      <c r="M59" s="427">
        <f t="shared" si="9"/>
        <v>33761.628332830805</v>
      </c>
      <c r="N59" s="428">
        <f t="shared" si="9"/>
        <v>35125.310527488793</v>
      </c>
      <c r="Q59" s="500"/>
      <c r="R59" s="427">
        <v>29102.374579741347</v>
      </c>
      <c r="S59" s="427">
        <v>31321.845702710849</v>
      </c>
      <c r="T59" s="427">
        <v>31401.536903145497</v>
      </c>
      <c r="U59" s="427">
        <v>34589.975267671311</v>
      </c>
      <c r="V59" s="427">
        <v>39274.070869584211</v>
      </c>
      <c r="W59" s="427">
        <v>38047.468117838253</v>
      </c>
      <c r="X59" s="427">
        <v>39872.943853230456</v>
      </c>
      <c r="Y59" s="427">
        <v>42632.989891325815</v>
      </c>
      <c r="Z59" s="427">
        <v>48896.898191000277</v>
      </c>
      <c r="AA59" s="428">
        <v>50315.967313895104</v>
      </c>
      <c r="AD59" s="500"/>
      <c r="AE59" s="427">
        <f t="shared" si="4"/>
        <v>-11726.271953967986</v>
      </c>
      <c r="AF59" s="427">
        <f t="shared" si="4"/>
        <v>-13030.616418732556</v>
      </c>
      <c r="AG59" s="427">
        <f t="shared" si="4"/>
        <v>-12062.914050535543</v>
      </c>
      <c r="AH59" s="427">
        <f t="shared" si="4"/>
        <v>-14144.798327511129</v>
      </c>
      <c r="AI59" s="427">
        <f t="shared" si="4"/>
        <v>-13339.326002792866</v>
      </c>
      <c r="AJ59" s="427">
        <f t="shared" si="4"/>
        <v>-12583.085878747886</v>
      </c>
      <c r="AK59" s="427">
        <f t="shared" si="4"/>
        <v>-14300.34727838574</v>
      </c>
      <c r="AL59" s="427">
        <f t="shared" si="4"/>
        <v>-14281.264953668204</v>
      </c>
      <c r="AM59" s="427">
        <f t="shared" si="4"/>
        <v>-15135.269858169471</v>
      </c>
      <c r="AN59" s="428">
        <f t="shared" si="4"/>
        <v>-15190.656786406311</v>
      </c>
    </row>
    <row r="60" spans="2:40">
      <c r="E60" s="429"/>
      <c r="F60" s="429"/>
      <c r="G60" s="429"/>
      <c r="H60" s="429"/>
      <c r="I60" s="429"/>
      <c r="J60" s="429"/>
      <c r="K60" s="429"/>
      <c r="L60" s="429"/>
      <c r="M60" s="429"/>
      <c r="N60" s="429"/>
      <c r="R60" s="429"/>
      <c r="S60" s="429"/>
      <c r="T60" s="429"/>
      <c r="U60" s="429"/>
      <c r="V60" s="429"/>
      <c r="W60" s="429"/>
      <c r="X60" s="429"/>
      <c r="Y60" s="429"/>
      <c r="Z60" s="429"/>
      <c r="AA60" s="429"/>
      <c r="AE60" s="429"/>
      <c r="AF60" s="429"/>
      <c r="AG60" s="429"/>
      <c r="AH60" s="429"/>
      <c r="AI60" s="429"/>
      <c r="AJ60" s="429"/>
      <c r="AK60" s="429"/>
      <c r="AL60" s="429"/>
      <c r="AM60" s="429"/>
      <c r="AN60" s="429"/>
    </row>
    <row r="61" spans="2:40">
      <c r="E61" s="429"/>
      <c r="F61" s="429"/>
      <c r="G61" s="429"/>
      <c r="H61" s="429"/>
      <c r="I61" s="429"/>
      <c r="J61" s="429"/>
      <c r="K61" s="429"/>
      <c r="L61" s="429"/>
      <c r="M61" s="429"/>
      <c r="N61" s="429"/>
      <c r="R61" s="429"/>
      <c r="S61" s="429"/>
      <c r="T61" s="429"/>
      <c r="U61" s="429"/>
      <c r="V61" s="429"/>
      <c r="W61" s="429"/>
      <c r="X61" s="429"/>
      <c r="Y61" s="429"/>
      <c r="Z61" s="429"/>
      <c r="AA61" s="429"/>
      <c r="AE61" s="429"/>
      <c r="AF61" s="429"/>
      <c r="AG61" s="429"/>
      <c r="AH61" s="429"/>
      <c r="AI61" s="429"/>
      <c r="AJ61" s="429"/>
      <c r="AK61" s="429"/>
      <c r="AL61" s="429"/>
      <c r="AM61" s="429"/>
      <c r="AN61" s="429"/>
    </row>
    <row r="62" spans="2:40" ht="13">
      <c r="B62" s="974" t="s">
        <v>35</v>
      </c>
      <c r="C62" s="974"/>
      <c r="D62" s="974"/>
      <c r="E62" s="974"/>
      <c r="F62" s="974"/>
      <c r="G62" s="974"/>
      <c r="H62" s="974"/>
      <c r="I62" s="974"/>
      <c r="Q62" s="974"/>
      <c r="R62" s="974"/>
      <c r="S62" s="974"/>
      <c r="T62" s="974"/>
      <c r="U62" s="974"/>
      <c r="V62" s="974"/>
      <c r="AD62" s="974"/>
      <c r="AE62" s="974"/>
      <c r="AF62" s="974"/>
      <c r="AG62" s="974"/>
      <c r="AH62" s="974"/>
      <c r="AI62" s="974"/>
    </row>
    <row r="63" spans="2:40" ht="13">
      <c r="B63" s="974" t="s">
        <v>65</v>
      </c>
      <c r="C63" s="974"/>
      <c r="D63" s="974"/>
      <c r="E63" s="974"/>
      <c r="F63" s="974"/>
      <c r="G63" s="974"/>
      <c r="H63" s="974"/>
      <c r="I63" s="974"/>
      <c r="Q63" s="974"/>
      <c r="R63" s="974"/>
      <c r="S63" s="974"/>
      <c r="T63" s="974"/>
      <c r="U63" s="974"/>
      <c r="V63" s="974"/>
      <c r="AD63" s="974"/>
      <c r="AE63" s="974"/>
      <c r="AF63" s="974"/>
      <c r="AG63" s="974"/>
      <c r="AH63" s="974"/>
      <c r="AI63" s="974"/>
    </row>
    <row r="64" spans="2:40" ht="13">
      <c r="B64" s="974" t="s">
        <v>100</v>
      </c>
      <c r="C64" s="974"/>
      <c r="D64" s="974"/>
      <c r="E64" s="974"/>
      <c r="F64" s="974"/>
      <c r="G64" s="974"/>
      <c r="H64" s="974"/>
      <c r="I64" s="974"/>
      <c r="Q64" s="974"/>
      <c r="R64" s="974"/>
      <c r="S64" s="974"/>
      <c r="T64" s="974"/>
      <c r="U64" s="974"/>
      <c r="V64" s="974"/>
      <c r="AD64" s="974"/>
      <c r="AE64" s="974"/>
      <c r="AF64" s="974"/>
      <c r="AG64" s="974"/>
      <c r="AH64" s="974"/>
      <c r="AI64" s="974"/>
    </row>
    <row r="65" spans="2:36" ht="3" customHeight="1">
      <c r="B65" s="4"/>
      <c r="C65" s="5"/>
      <c r="D65" s="5"/>
      <c r="E65" s="5"/>
      <c r="F65" s="5"/>
      <c r="G65" s="5"/>
      <c r="H65" s="5"/>
      <c r="I65" s="5"/>
      <c r="Q65" s="5"/>
      <c r="R65" s="5"/>
      <c r="S65" s="5"/>
      <c r="T65" s="5"/>
      <c r="U65" s="5"/>
      <c r="V65" s="5"/>
      <c r="AD65" s="5"/>
      <c r="AE65" s="5"/>
      <c r="AF65" s="5"/>
      <c r="AG65" s="5"/>
      <c r="AH65" s="5"/>
      <c r="AI65" s="5"/>
    </row>
    <row r="66" spans="2:36" ht="3" customHeight="1" thickBot="1">
      <c r="B66" s="4"/>
      <c r="C66" s="5"/>
      <c r="D66" s="5"/>
      <c r="E66" s="5"/>
      <c r="F66" s="5"/>
      <c r="G66" s="5"/>
      <c r="H66" s="5"/>
      <c r="I66" s="5"/>
      <c r="Q66" s="5"/>
      <c r="R66" s="5"/>
      <c r="S66" s="5"/>
      <c r="T66" s="5"/>
      <c r="U66" s="5"/>
      <c r="V66" s="5"/>
      <c r="AD66" s="5"/>
      <c r="AE66" s="5"/>
      <c r="AF66" s="5"/>
      <c r="AG66" s="5"/>
      <c r="AH66" s="5"/>
      <c r="AI66" s="5"/>
    </row>
    <row r="67" spans="2:36" ht="14">
      <c r="B67" s="430" t="s">
        <v>66</v>
      </c>
      <c r="C67" s="431"/>
      <c r="D67" s="432"/>
      <c r="E67" s="433">
        <v>2013</v>
      </c>
      <c r="F67" s="434">
        <v>2014</v>
      </c>
      <c r="G67" s="433">
        <v>2015</v>
      </c>
      <c r="H67" s="434">
        <v>2016</v>
      </c>
      <c r="I67" s="435">
        <v>2017</v>
      </c>
      <c r="Q67" s="501"/>
      <c r="R67" s="433">
        <v>2013</v>
      </c>
      <c r="S67" s="434">
        <v>2014</v>
      </c>
      <c r="T67" s="433">
        <v>2015</v>
      </c>
      <c r="U67" s="434">
        <v>2016</v>
      </c>
      <c r="V67" s="435">
        <v>2017</v>
      </c>
      <c r="AD67" s="501"/>
      <c r="AE67" s="433">
        <v>2013</v>
      </c>
      <c r="AF67" s="434">
        <v>2014</v>
      </c>
      <c r="AG67" s="433">
        <v>2015</v>
      </c>
      <c r="AH67" s="434">
        <v>2016</v>
      </c>
      <c r="AI67" s="435">
        <v>2017</v>
      </c>
    </row>
    <row r="68" spans="2:36" ht="14">
      <c r="B68" s="17" t="s">
        <v>101</v>
      </c>
      <c r="C68" s="436"/>
      <c r="D68" s="18"/>
      <c r="E68" s="18"/>
      <c r="F68" s="437"/>
      <c r="G68" s="437"/>
      <c r="H68" s="437"/>
      <c r="I68" s="438"/>
      <c r="Q68" s="502"/>
      <c r="R68" s="18"/>
      <c r="S68" s="437"/>
      <c r="T68" s="437"/>
      <c r="U68" s="437"/>
      <c r="V68" s="438"/>
      <c r="AD68" s="502"/>
      <c r="AE68" s="18"/>
      <c r="AF68" s="437"/>
      <c r="AG68" s="437"/>
      <c r="AH68" s="437"/>
      <c r="AI68" s="438"/>
    </row>
    <row r="69" spans="2:36" ht="14">
      <c r="B69" s="138" t="s">
        <v>97</v>
      </c>
      <c r="C69" s="139"/>
      <c r="D69" s="19"/>
      <c r="E69" s="439">
        <f>+E35+F35</f>
        <v>26273.376214293923</v>
      </c>
      <c r="F69" s="440">
        <f>+G35+H35</f>
        <v>27914.016696951763</v>
      </c>
      <c r="G69" s="440">
        <f>+I35+J35</f>
        <v>35623.794369541327</v>
      </c>
      <c r="H69" s="440">
        <f>+K35+L35</f>
        <v>39704.820570042328</v>
      </c>
      <c r="I69" s="441">
        <f>+M35+N35</f>
        <v>55171.581065144805</v>
      </c>
      <c r="J69" s="442"/>
      <c r="Q69" s="20"/>
      <c r="R69" s="439">
        <v>47758.559227769481</v>
      </c>
      <c r="S69" s="440">
        <v>51308.451453683374</v>
      </c>
      <c r="T69" s="440">
        <v>58989.818090038323</v>
      </c>
      <c r="U69" s="440">
        <v>66354.427406921415</v>
      </c>
      <c r="V69" s="441">
        <v>83309.525790709813</v>
      </c>
      <c r="W69" s="442"/>
      <c r="AD69" s="20"/>
      <c r="AE69" s="439">
        <f>+R69-E69</f>
        <v>21485.183013475558</v>
      </c>
      <c r="AF69" s="440">
        <f>+S69-F69</f>
        <v>23394.434756731611</v>
      </c>
      <c r="AG69" s="440">
        <f>+T69-G69</f>
        <v>23366.023720496996</v>
      </c>
      <c r="AH69" s="440">
        <f>+U69-H69</f>
        <v>26649.606836879087</v>
      </c>
      <c r="AI69" s="441">
        <f>+V69-I69</f>
        <v>28137.944725565008</v>
      </c>
      <c r="AJ69" s="442"/>
    </row>
    <row r="70" spans="2:36" ht="14">
      <c r="B70" s="443" t="s">
        <v>99</v>
      </c>
      <c r="C70" s="139"/>
      <c r="D70" s="19"/>
      <c r="E70" s="439">
        <f>+E43+F43</f>
        <v>0</v>
      </c>
      <c r="F70" s="440">
        <f>+G43+H43</f>
        <v>0</v>
      </c>
      <c r="G70" s="440">
        <f>+I43+J43</f>
        <v>0</v>
      </c>
      <c r="H70" s="440">
        <f>+K43+L43</f>
        <v>8688.3828900000008</v>
      </c>
      <c r="I70" s="444">
        <f>+M43+N43</f>
        <v>50175.791282936647</v>
      </c>
      <c r="J70" s="445"/>
      <c r="Q70" s="20"/>
      <c r="R70" s="439">
        <v>0</v>
      </c>
      <c r="S70" s="440">
        <v>0</v>
      </c>
      <c r="T70" s="440">
        <v>0</v>
      </c>
      <c r="U70" s="440">
        <v>0</v>
      </c>
      <c r="V70" s="444">
        <v>39136.268490463648</v>
      </c>
      <c r="W70" s="445"/>
      <c r="AD70" s="20"/>
      <c r="AE70" s="439">
        <f t="shared" ref="AE70:AH96" si="10">+R70-E70</f>
        <v>0</v>
      </c>
      <c r="AF70" s="440">
        <f t="shared" si="10"/>
        <v>0</v>
      </c>
      <c r="AG70" s="440">
        <f t="shared" si="10"/>
        <v>0</v>
      </c>
      <c r="AH70" s="440">
        <f t="shared" si="10"/>
        <v>-8688.3828900000008</v>
      </c>
      <c r="AI70" s="444">
        <f>+V70-I70</f>
        <v>-11039.522792472999</v>
      </c>
      <c r="AJ70" s="445"/>
    </row>
    <row r="71" spans="2:36" ht="14">
      <c r="B71" s="138" t="s">
        <v>62</v>
      </c>
      <c r="C71" s="139"/>
      <c r="D71" s="19"/>
      <c r="E71" s="439">
        <f>+E49+F49</f>
        <v>1351.9656644556599</v>
      </c>
      <c r="F71" s="440">
        <f>+G49+H49</f>
        <v>1299.7796664504419</v>
      </c>
      <c r="G71" s="440">
        <f>+I49+J49</f>
        <v>2302.821951290387</v>
      </c>
      <c r="H71" s="440">
        <f>K49+L49</f>
        <v>2792.5860704400066</v>
      </c>
      <c r="I71" s="441">
        <f>+M49+N49</f>
        <v>2707.1079204347889</v>
      </c>
      <c r="J71" s="442"/>
      <c r="Q71" s="20"/>
      <c r="R71" s="439">
        <v>3198.1595531227144</v>
      </c>
      <c r="S71" s="440">
        <v>4638.7345284534285</v>
      </c>
      <c r="T71" s="440">
        <v>5092.8284587841426</v>
      </c>
      <c r="U71" s="440">
        <v>4993.9591491148576</v>
      </c>
      <c r="V71" s="441">
        <v>4895.0898394455717</v>
      </c>
      <c r="W71" s="442"/>
      <c r="AD71" s="20"/>
      <c r="AE71" s="439">
        <f t="shared" si="10"/>
        <v>1846.1938886670546</v>
      </c>
      <c r="AF71" s="440">
        <f t="shared" si="10"/>
        <v>3338.9548620029864</v>
      </c>
      <c r="AG71" s="440">
        <f t="shared" si="10"/>
        <v>2790.0065074937556</v>
      </c>
      <c r="AH71" s="440">
        <f t="shared" si="10"/>
        <v>2201.3730786748511</v>
      </c>
      <c r="AI71" s="441">
        <f>+V71-I71</f>
        <v>2187.9819190107828</v>
      </c>
      <c r="AJ71" s="442"/>
    </row>
    <row r="72" spans="2:36" ht="14">
      <c r="B72" s="138" t="s">
        <v>63</v>
      </c>
      <c r="C72" s="139"/>
      <c r="D72" s="19"/>
      <c r="E72" s="439">
        <f>+E55+F55</f>
        <v>8041.9900310020694</v>
      </c>
      <c r="F72" s="440">
        <f>+G55+H55</f>
        <v>10570.003429367929</v>
      </c>
      <c r="G72" s="440">
        <f>+I55+J55</f>
        <v>13472.510785049999</v>
      </c>
      <c r="H72" s="440">
        <f>+K55+L55</f>
        <v>11426.914872019999</v>
      </c>
      <c r="I72" s="441">
        <f>+M55+N55</f>
        <v>11008.249874739999</v>
      </c>
      <c r="J72" s="442"/>
      <c r="Q72" s="20"/>
      <c r="R72" s="439">
        <v>9467.5015015599984</v>
      </c>
      <c r="S72" s="440">
        <v>10044.326188679999</v>
      </c>
      <c r="T72" s="440">
        <v>13238.8924386</v>
      </c>
      <c r="U72" s="440">
        <v>11157.547188519999</v>
      </c>
      <c r="V72" s="441">
        <v>11008.249874739999</v>
      </c>
      <c r="W72" s="442"/>
      <c r="AD72" s="20"/>
      <c r="AE72" s="439">
        <f t="shared" si="10"/>
        <v>1425.511470557929</v>
      </c>
      <c r="AF72" s="440">
        <f t="shared" si="10"/>
        <v>-525.67724068792995</v>
      </c>
      <c r="AG72" s="440">
        <f t="shared" si="10"/>
        <v>-233.61834644999908</v>
      </c>
      <c r="AH72" s="440">
        <f t="shared" si="10"/>
        <v>-269.36768350000057</v>
      </c>
      <c r="AI72" s="441">
        <f>+V72-I72</f>
        <v>0</v>
      </c>
      <c r="AJ72" s="442"/>
    </row>
    <row r="73" spans="2:36" ht="14">
      <c r="B73" s="138" t="s">
        <v>102</v>
      </c>
      <c r="C73" s="139"/>
      <c r="D73" s="19"/>
      <c r="E73" s="439">
        <f>+E56+F56</f>
        <v>4822.7315081520692</v>
      </c>
      <c r="F73" s="440">
        <f>+G56+H56</f>
        <v>7178.1845339679294</v>
      </c>
      <c r="G73" s="440">
        <f>+I56+J56</f>
        <v>6817.9603243000001</v>
      </c>
      <c r="H73" s="440">
        <f>+K56+L56</f>
        <v>6959.3843459199998</v>
      </c>
      <c r="I73" s="441">
        <f>+M56+N56</f>
        <v>6264.3083675399994</v>
      </c>
      <c r="J73" s="442"/>
      <c r="Q73" s="20"/>
      <c r="R73" s="439">
        <v>6130.8813910599984</v>
      </c>
      <c r="S73" s="440">
        <v>6540.2763026799994</v>
      </c>
      <c r="T73" s="440">
        <v>6582.9603243000001</v>
      </c>
      <c r="U73" s="440">
        <v>6689.3843459199998</v>
      </c>
      <c r="V73" s="441">
        <v>6264.3083675399994</v>
      </c>
      <c r="W73" s="442"/>
      <c r="AD73" s="20"/>
      <c r="AE73" s="439">
        <f t="shared" si="10"/>
        <v>1308.1498829079292</v>
      </c>
      <c r="AF73" s="440">
        <f t="shared" si="10"/>
        <v>-637.90823128792999</v>
      </c>
      <c r="AG73" s="440">
        <f t="shared" si="10"/>
        <v>-235</v>
      </c>
      <c r="AH73" s="440">
        <f t="shared" si="10"/>
        <v>-270</v>
      </c>
      <c r="AI73" s="441">
        <f>+V73-I73</f>
        <v>0</v>
      </c>
      <c r="AJ73" s="442"/>
    </row>
    <row r="74" spans="2:36" ht="14">
      <c r="B74" s="138" t="s">
        <v>64</v>
      </c>
      <c r="C74" s="139"/>
      <c r="D74" s="19"/>
      <c r="E74" s="439">
        <f>+E57+F57</f>
        <v>3219.2585228500002</v>
      </c>
      <c r="F74" s="440">
        <f>+G57+H57</f>
        <v>3391.8188953999997</v>
      </c>
      <c r="G74" s="440">
        <f>+I57+J57</f>
        <v>6654.5504607499997</v>
      </c>
      <c r="H74" s="440">
        <f>+K57+L57</f>
        <v>4467.5305260999994</v>
      </c>
      <c r="I74" s="441">
        <f>+M57+N57</f>
        <v>4743.9415071999993</v>
      </c>
      <c r="J74" s="442"/>
      <c r="Q74" s="20"/>
      <c r="R74" s="439">
        <v>3336.6201105000005</v>
      </c>
      <c r="S74" s="440">
        <v>3504.0498859999998</v>
      </c>
      <c r="T74" s="440">
        <v>6655.9321142999997</v>
      </c>
      <c r="U74" s="440">
        <v>4468.1628425999988</v>
      </c>
      <c r="V74" s="441">
        <v>4743.9415071999993</v>
      </c>
      <c r="W74" s="442"/>
      <c r="AD74" s="20"/>
      <c r="AE74" s="439">
        <f t="shared" si="10"/>
        <v>117.36158765000027</v>
      </c>
      <c r="AF74" s="440">
        <f t="shared" si="10"/>
        <v>112.23099060000004</v>
      </c>
      <c r="AG74" s="440">
        <f t="shared" si="10"/>
        <v>1.38165355000001</v>
      </c>
      <c r="AH74" s="440">
        <f t="shared" si="10"/>
        <v>0.63231649999943329</v>
      </c>
      <c r="AI74" s="441">
        <f>+V74-I74</f>
        <v>0</v>
      </c>
      <c r="AJ74" s="442"/>
    </row>
    <row r="75" spans="2:36" ht="14">
      <c r="B75" s="138"/>
      <c r="C75" s="139"/>
      <c r="D75" s="19"/>
      <c r="E75" s="19"/>
      <c r="F75" s="20"/>
      <c r="G75" s="20"/>
      <c r="H75" s="20"/>
      <c r="I75" s="21"/>
      <c r="Q75" s="20"/>
      <c r="R75" s="19"/>
      <c r="S75" s="20"/>
      <c r="T75" s="20"/>
      <c r="U75" s="20"/>
      <c r="V75" s="21"/>
      <c r="AD75" s="20"/>
      <c r="AE75" s="19"/>
      <c r="AF75" s="20"/>
      <c r="AG75" s="20"/>
      <c r="AH75" s="20"/>
      <c r="AI75" s="21"/>
    </row>
    <row r="76" spans="2:36" ht="14">
      <c r="B76" s="17" t="s">
        <v>103</v>
      </c>
      <c r="C76" s="140"/>
      <c r="D76" s="18"/>
      <c r="E76" s="22" t="s">
        <v>68</v>
      </c>
      <c r="F76" s="22" t="s">
        <v>104</v>
      </c>
      <c r="G76" s="22" t="s">
        <v>105</v>
      </c>
      <c r="H76" s="22" t="s">
        <v>106</v>
      </c>
      <c r="I76" s="23" t="s">
        <v>107</v>
      </c>
      <c r="Q76" s="502"/>
      <c r="R76" s="22" t="s">
        <v>68</v>
      </c>
      <c r="S76" s="22" t="s">
        <v>104</v>
      </c>
      <c r="T76" s="22" t="s">
        <v>105</v>
      </c>
      <c r="U76" s="22" t="s">
        <v>106</v>
      </c>
      <c r="V76" s="23" t="s">
        <v>107</v>
      </c>
      <c r="AD76" s="502"/>
      <c r="AE76" s="22" t="s">
        <v>68</v>
      </c>
      <c r="AF76" s="22" t="s">
        <v>104</v>
      </c>
      <c r="AG76" s="22" t="s">
        <v>105</v>
      </c>
      <c r="AH76" s="22" t="s">
        <v>106</v>
      </c>
      <c r="AI76" s="23" t="s">
        <v>107</v>
      </c>
    </row>
    <row r="77" spans="2:36" ht="14">
      <c r="B77" s="24" t="s">
        <v>97</v>
      </c>
      <c r="C77" s="141"/>
      <c r="D77" s="19"/>
      <c r="E77" s="503">
        <f>+F35+G35</f>
        <v>26761.293630950197</v>
      </c>
      <c r="F77" s="503">
        <f>+H35+I35</f>
        <v>31401.926439154369</v>
      </c>
      <c r="G77" s="439">
        <f>+J35+K35</f>
        <v>37495.557541896633</v>
      </c>
      <c r="H77" s="439">
        <f>+L35+M35</f>
        <v>47543.323901671014</v>
      </c>
      <c r="I77" s="441"/>
      <c r="Q77" s="20"/>
      <c r="R77" s="439">
        <v>48652.41937744827</v>
      </c>
      <c r="S77" s="439">
        <v>55446.013154996734</v>
      </c>
      <c r="T77" s="439">
        <v>62367.718353559212</v>
      </c>
      <c r="U77" s="439">
        <v>74939.865056415874</v>
      </c>
      <c r="V77" s="441"/>
      <c r="AD77" s="20"/>
      <c r="AE77" s="439">
        <f t="shared" si="10"/>
        <v>21891.125746498074</v>
      </c>
      <c r="AF77" s="439">
        <f t="shared" si="10"/>
        <v>24044.086715842364</v>
      </c>
      <c r="AG77" s="439">
        <f t="shared" si="10"/>
        <v>24872.160811662579</v>
      </c>
      <c r="AH77" s="439">
        <f t="shared" si="10"/>
        <v>27396.54115474486</v>
      </c>
      <c r="AI77" s="441"/>
    </row>
    <row r="78" spans="2:36" ht="14">
      <c r="B78" s="25" t="s">
        <v>99</v>
      </c>
      <c r="C78" s="141"/>
      <c r="D78" s="19"/>
      <c r="E78" s="503">
        <f>+F43+G43</f>
        <v>0</v>
      </c>
      <c r="F78" s="503">
        <f>+H43+I43</f>
        <v>0</v>
      </c>
      <c r="G78" s="446">
        <f>+J43+K43</f>
        <v>4344.1914450000004</v>
      </c>
      <c r="H78" s="446">
        <f>+L43+M43</f>
        <v>29432.087086468324</v>
      </c>
      <c r="I78" s="441"/>
      <c r="J78" s="445"/>
      <c r="Q78" s="20"/>
      <c r="R78" s="439">
        <v>0</v>
      </c>
      <c r="S78" s="439">
        <v>0</v>
      </c>
      <c r="T78" s="446">
        <v>0</v>
      </c>
      <c r="U78" s="446">
        <v>19568.134245231824</v>
      </c>
      <c r="V78" s="441"/>
      <c r="W78" s="445"/>
      <c r="AD78" s="20"/>
      <c r="AE78" s="439">
        <f t="shared" si="10"/>
        <v>0</v>
      </c>
      <c r="AF78" s="439">
        <f t="shared" si="10"/>
        <v>0</v>
      </c>
      <c r="AG78" s="446">
        <f t="shared" si="10"/>
        <v>-4344.1914450000004</v>
      </c>
      <c r="AH78" s="446">
        <f t="shared" si="10"/>
        <v>-9863.9528412364998</v>
      </c>
      <c r="AI78" s="441"/>
      <c r="AJ78" s="445"/>
    </row>
    <row r="79" spans="2:36" ht="14">
      <c r="B79" s="24" t="s">
        <v>62</v>
      </c>
      <c r="C79" s="141"/>
      <c r="D79" s="19"/>
      <c r="E79" s="503">
        <f>+F49+G49</f>
        <v>1325.872665453051</v>
      </c>
      <c r="F79" s="503">
        <f>+H49+I49</f>
        <v>1620.8763762321578</v>
      </c>
      <c r="G79" s="439">
        <f>+J49+K49</f>
        <v>2728.1284435034536</v>
      </c>
      <c r="H79" s="439">
        <f>+L49+M49</f>
        <v>2749.8469954373977</v>
      </c>
      <c r="I79" s="441"/>
      <c r="Q79" s="20"/>
      <c r="R79" s="439">
        <v>3747.2948282880716</v>
      </c>
      <c r="S79" s="439">
        <v>5133.0236686187855</v>
      </c>
      <c r="T79" s="439">
        <v>5043.3938039495006</v>
      </c>
      <c r="U79" s="439">
        <v>4944.5244942802146</v>
      </c>
      <c r="V79" s="441"/>
      <c r="AD79" s="20"/>
      <c r="AE79" s="439">
        <f t="shared" si="10"/>
        <v>2421.4221628350206</v>
      </c>
      <c r="AF79" s="439">
        <f t="shared" si="10"/>
        <v>3512.1472923866277</v>
      </c>
      <c r="AG79" s="439">
        <f t="shared" si="10"/>
        <v>2315.265360446047</v>
      </c>
      <c r="AH79" s="439">
        <f t="shared" si="10"/>
        <v>2194.6774988428169</v>
      </c>
      <c r="AI79" s="441"/>
    </row>
    <row r="80" spans="2:36" ht="14">
      <c r="B80" s="24" t="s">
        <v>63</v>
      </c>
      <c r="C80" s="141"/>
      <c r="D80" s="19"/>
      <c r="E80" s="503">
        <f>+F55+G55</f>
        <v>9542.6858401850004</v>
      </c>
      <c r="F80" s="503">
        <f>+H55+I55</f>
        <v>13357.118991564999</v>
      </c>
      <c r="G80" s="439">
        <f>+J55+K55</f>
        <v>10813.292828534999</v>
      </c>
      <c r="H80" s="439">
        <f>+L55+M55</f>
        <v>11820.182373379997</v>
      </c>
      <c r="I80" s="441"/>
      <c r="Q80" s="20"/>
      <c r="R80" s="439">
        <v>10323.668400119997</v>
      </c>
      <c r="S80" s="439">
        <v>13285.009313639999</v>
      </c>
      <c r="T80" s="439">
        <v>10509.299813559999</v>
      </c>
      <c r="U80" s="439">
        <v>11645.498531629997</v>
      </c>
      <c r="V80" s="441"/>
      <c r="AD80" s="20"/>
      <c r="AE80" s="439">
        <f t="shared" si="10"/>
        <v>780.98255993499697</v>
      </c>
      <c r="AF80" s="439">
        <f t="shared" si="10"/>
        <v>-72.109677925000142</v>
      </c>
      <c r="AG80" s="439">
        <f t="shared" si="10"/>
        <v>-303.99301497499982</v>
      </c>
      <c r="AH80" s="439">
        <f t="shared" si="10"/>
        <v>-174.68384175000028</v>
      </c>
      <c r="AI80" s="441"/>
    </row>
    <row r="81" spans="2:40" ht="14">
      <c r="B81" s="138" t="s">
        <v>71</v>
      </c>
      <c r="C81" s="141"/>
      <c r="D81" s="19"/>
      <c r="E81" s="473">
        <f>+F56+G56</f>
        <v>6295.9377610599995</v>
      </c>
      <c r="F81" s="503">
        <f>+H56+I56</f>
        <v>7043.6143134899994</v>
      </c>
      <c r="G81" s="439">
        <f>+J56+K56</f>
        <v>6373.672335109999</v>
      </c>
      <c r="H81" s="439">
        <f>+L56+M56</f>
        <v>7069.196356729999</v>
      </c>
      <c r="I81" s="441"/>
      <c r="J81" s="26"/>
      <c r="Q81" s="20"/>
      <c r="R81" s="439">
        <v>6849.8334018699989</v>
      </c>
      <c r="S81" s="439">
        <v>6969.7483134899994</v>
      </c>
      <c r="T81" s="439">
        <v>6068.672335109999</v>
      </c>
      <c r="U81" s="439">
        <v>6894.196356729999</v>
      </c>
      <c r="V81" s="441"/>
      <c r="W81" s="26"/>
      <c r="AD81" s="20"/>
      <c r="AE81" s="439">
        <f t="shared" si="10"/>
        <v>553.89564080999935</v>
      </c>
      <c r="AF81" s="439">
        <f t="shared" si="10"/>
        <v>-73.865999999999985</v>
      </c>
      <c r="AG81" s="439">
        <f t="shared" si="10"/>
        <v>-305</v>
      </c>
      <c r="AH81" s="439">
        <f t="shared" si="10"/>
        <v>-175</v>
      </c>
      <c r="AI81" s="441"/>
      <c r="AJ81" s="26"/>
    </row>
    <row r="82" spans="2:40" ht="14">
      <c r="B82" s="447" t="s">
        <v>64</v>
      </c>
      <c r="C82" s="448"/>
      <c r="D82" s="449"/>
      <c r="E82" s="474">
        <f>+F57+G57</f>
        <v>3246.748079125</v>
      </c>
      <c r="F82" s="504">
        <f>+H57+I57</f>
        <v>6313.5046780749999</v>
      </c>
      <c r="G82" s="505">
        <f>+J57+K57</f>
        <v>4439.6204934249999</v>
      </c>
      <c r="H82" s="505">
        <f>+L57+M57</f>
        <v>4750.9860166499993</v>
      </c>
      <c r="I82" s="450"/>
      <c r="Q82" s="506"/>
      <c r="R82" s="505">
        <v>3473.8349982500004</v>
      </c>
      <c r="S82" s="505">
        <v>6315.2610001499997</v>
      </c>
      <c r="T82" s="505">
        <v>4440.6274784500001</v>
      </c>
      <c r="U82" s="505">
        <v>4751.302174899999</v>
      </c>
      <c r="V82" s="450"/>
      <c r="AD82" s="506"/>
      <c r="AE82" s="505">
        <f t="shared" si="10"/>
        <v>227.08691912500035</v>
      </c>
      <c r="AF82" s="505">
        <f t="shared" si="10"/>
        <v>1.7563220749998436</v>
      </c>
      <c r="AG82" s="505">
        <f t="shared" si="10"/>
        <v>1.0069850250001764</v>
      </c>
      <c r="AH82" s="505">
        <f t="shared" si="10"/>
        <v>0.31615824999971665</v>
      </c>
      <c r="AI82" s="450"/>
    </row>
    <row r="83" spans="2:40" ht="14">
      <c r="B83" s="138"/>
      <c r="C83" s="139"/>
      <c r="D83" s="19"/>
      <c r="E83" s="19"/>
      <c r="F83" s="20"/>
      <c r="G83" s="20"/>
      <c r="H83" s="20"/>
      <c r="I83" s="21"/>
      <c r="Q83" s="20"/>
      <c r="R83" s="19"/>
      <c r="S83" s="20"/>
      <c r="T83" s="20"/>
      <c r="U83" s="20"/>
      <c r="V83" s="21"/>
      <c r="AD83" s="20"/>
      <c r="AE83" s="19"/>
      <c r="AF83" s="20"/>
      <c r="AG83" s="20"/>
      <c r="AH83" s="20"/>
      <c r="AI83" s="21"/>
    </row>
    <row r="84" spans="2:40" ht="14">
      <c r="B84" s="24" t="s">
        <v>69</v>
      </c>
      <c r="C84" s="139"/>
      <c r="D84" s="19"/>
      <c r="E84" s="451">
        <f>1/(1+$D$11/2)</f>
        <v>0.96697771116375775</v>
      </c>
      <c r="F84" s="452">
        <f>E84/(1+$D$11)</f>
        <v>0.90515558472690982</v>
      </c>
      <c r="G84" s="452">
        <f>F84/(1+$D$11)</f>
        <v>0.84728595406431695</v>
      </c>
      <c r="H84" s="452">
        <f>G84/(1+$D$11)</f>
        <v>0.79311612287214917</v>
      </c>
      <c r="I84" s="453"/>
      <c r="M84" s="1"/>
      <c r="N84" s="1"/>
      <c r="O84" s="1"/>
      <c r="Q84" s="20"/>
      <c r="R84" s="451">
        <v>0.96200096200096197</v>
      </c>
      <c r="S84" s="452">
        <v>0.89156715662739761</v>
      </c>
      <c r="T84" s="452">
        <v>0.82629022857034073</v>
      </c>
      <c r="U84" s="452">
        <v>0.76579261220606187</v>
      </c>
      <c r="V84" s="453"/>
      <c r="Z84" s="1"/>
      <c r="AA84" s="1"/>
      <c r="AD84" s="20"/>
      <c r="AE84" s="451"/>
      <c r="AF84" s="452"/>
      <c r="AG84" s="452"/>
      <c r="AH84" s="452"/>
      <c r="AI84" s="453"/>
      <c r="AM84" s="1"/>
      <c r="AN84" s="1"/>
    </row>
    <row r="85" spans="2:40" ht="14.5" thickBot="1">
      <c r="B85" s="142"/>
      <c r="C85" s="143"/>
      <c r="D85" s="144"/>
      <c r="E85" s="144"/>
      <c r="F85" s="145"/>
      <c r="G85" s="145"/>
      <c r="H85" s="145"/>
      <c r="I85" s="146"/>
      <c r="K85" s="1"/>
      <c r="M85" s="1"/>
      <c r="N85" s="1"/>
      <c r="O85" s="1"/>
      <c r="Q85" s="145"/>
      <c r="R85" s="144"/>
      <c r="S85" s="145"/>
      <c r="T85" s="145"/>
      <c r="U85" s="145"/>
      <c r="V85" s="146"/>
      <c r="X85" s="1"/>
      <c r="Z85" s="1"/>
      <c r="AA85" s="1"/>
      <c r="AD85" s="145"/>
      <c r="AE85" s="144"/>
      <c r="AF85" s="145"/>
      <c r="AG85" s="145"/>
      <c r="AH85" s="145"/>
      <c r="AI85" s="146"/>
      <c r="AK85" s="1"/>
      <c r="AM85" s="1"/>
      <c r="AN85" s="1"/>
    </row>
    <row r="86" spans="2:40" ht="14">
      <c r="B86" s="27" t="s">
        <v>267</v>
      </c>
      <c r="C86" s="147"/>
      <c r="D86" s="28" t="s">
        <v>70</v>
      </c>
      <c r="E86" s="29"/>
      <c r="F86" s="30"/>
      <c r="G86" s="29"/>
      <c r="H86" s="31"/>
      <c r="I86" s="32"/>
      <c r="M86" s="33"/>
      <c r="N86" s="33"/>
      <c r="O86" s="33"/>
      <c r="Q86" s="507" t="s">
        <v>70</v>
      </c>
      <c r="R86" s="29"/>
      <c r="S86" s="30"/>
      <c r="T86" s="29"/>
      <c r="U86" s="31"/>
      <c r="V86" s="32"/>
      <c r="Z86" s="33"/>
      <c r="AA86" s="33"/>
      <c r="AD86" s="507" t="str">
        <f>+Q86</f>
        <v>VPN(2)</v>
      </c>
      <c r="AE86" s="29"/>
      <c r="AF86" s="30"/>
      <c r="AG86" s="29"/>
      <c r="AH86" s="31"/>
      <c r="AI86" s="32"/>
      <c r="AM86" s="33"/>
      <c r="AN86" s="33"/>
    </row>
    <row r="87" spans="2:40" ht="14">
      <c r="B87" s="24" t="s">
        <v>97</v>
      </c>
      <c r="C87" s="139"/>
      <c r="D87" s="454">
        <f>SUM(E87:H87)</f>
        <v>123778.03951702913</v>
      </c>
      <c r="E87" s="34">
        <f>+E$84*E77</f>
        <v>25877.574463037468</v>
      </c>
      <c r="F87" s="34">
        <f>+F$84*F77</f>
        <v>28423.629087584184</v>
      </c>
      <c r="G87" s="34">
        <f>+G$84*G77</f>
        <v>31769.459245059385</v>
      </c>
      <c r="H87" s="34">
        <f>+H$84*H77</f>
        <v>37707.376721348097</v>
      </c>
      <c r="I87" s="35">
        <f>+I$84*I77</f>
        <v>0</v>
      </c>
      <c r="M87" s="36"/>
      <c r="N87" s="36"/>
      <c r="O87" s="36"/>
      <c r="Q87" s="508">
        <v>205159.74981340076</v>
      </c>
      <c r="R87" s="34">
        <v>46803.674244779482</v>
      </c>
      <c r="S87" s="34">
        <v>49433.844294925722</v>
      </c>
      <c r="T87" s="34">
        <v>51533.836253773079</v>
      </c>
      <c r="U87" s="34">
        <v>57388.395019922486</v>
      </c>
      <c r="V87" s="35"/>
      <c r="Z87" s="36"/>
      <c r="AA87" s="36"/>
      <c r="AD87" s="508">
        <f t="shared" ref="AD87:AD96" si="11">+Q87-D87</f>
        <v>81381.710296371632</v>
      </c>
      <c r="AE87" s="34">
        <f t="shared" si="10"/>
        <v>20926.099781742014</v>
      </c>
      <c r="AF87" s="34">
        <f t="shared" si="10"/>
        <v>21010.215207341538</v>
      </c>
      <c r="AG87" s="34">
        <f t="shared" si="10"/>
        <v>19764.377008713695</v>
      </c>
      <c r="AH87" s="34">
        <f t="shared" si="10"/>
        <v>19681.018298574389</v>
      </c>
      <c r="AI87" s="35"/>
      <c r="AM87" s="36"/>
      <c r="AN87" s="36"/>
    </row>
    <row r="88" spans="2:40" ht="14.5">
      <c r="B88" s="148" t="s">
        <v>108</v>
      </c>
      <c r="C88" s="139"/>
      <c r="D88" s="455">
        <f>SUM(E88:H88)</f>
        <v>105861.16751328038</v>
      </c>
      <c r="E88" s="37">
        <f>+E87*[25]ACTIVOS!$G$172/[25]ACTIVOS!$G$174</f>
        <v>22131.795395677684</v>
      </c>
      <c r="F88" s="37">
        <f>+F87*[25]ACTIVOS!$G$172/[25]ACTIVOS!$G$174</f>
        <v>24309.30859720178</v>
      </c>
      <c r="G88" s="37">
        <f>+G87*[25]ACTIVOS!$G$172/[25]ACTIVOS!$G$174</f>
        <v>27170.829818199451</v>
      </c>
      <c r="H88" s="37">
        <f>+H87*[25]ACTIVOS!$G$172/[25]ACTIVOS!$G$174</f>
        <v>32249.233702201462</v>
      </c>
      <c r="I88" s="35"/>
      <c r="M88" s="36"/>
      <c r="N88" s="36"/>
      <c r="O88" s="36"/>
      <c r="Q88" s="509">
        <v>175462.87472901144</v>
      </c>
      <c r="R88" s="37">
        <v>40028.842101526017</v>
      </c>
      <c r="S88" s="37">
        <v>42278.295020261561</v>
      </c>
      <c r="T88" s="37">
        <v>44074.313129770373</v>
      </c>
      <c r="U88" s="37">
        <v>49081.424477453496</v>
      </c>
      <c r="V88" s="35"/>
      <c r="Z88" s="36"/>
      <c r="AA88" s="36"/>
      <c r="AD88" s="509">
        <f t="shared" si="11"/>
        <v>69601.707215731061</v>
      </c>
      <c r="AE88" s="37">
        <f t="shared" si="10"/>
        <v>17897.046705848334</v>
      </c>
      <c r="AF88" s="37">
        <f t="shared" si="10"/>
        <v>17968.986423059781</v>
      </c>
      <c r="AG88" s="37">
        <f t="shared" si="10"/>
        <v>16903.483311570923</v>
      </c>
      <c r="AH88" s="37">
        <f t="shared" si="10"/>
        <v>16832.190775252035</v>
      </c>
      <c r="AI88" s="35"/>
      <c r="AM88" s="36"/>
      <c r="AN88" s="36"/>
    </row>
    <row r="89" spans="2:40" ht="14.5">
      <c r="B89" s="148" t="s">
        <v>109</v>
      </c>
      <c r="C89" s="139"/>
      <c r="D89" s="455">
        <f>SUM(E89:H89)</f>
        <v>17916.872003748766</v>
      </c>
      <c r="E89" s="37">
        <f>+E87*[25]ACTIVOS!$G$173/[25]ACTIVOS!$G$174</f>
        <v>3745.7790673597847</v>
      </c>
      <c r="F89" s="37">
        <f>+F87*[25]ACTIVOS!$G$173/[25]ACTIVOS!$G$174</f>
        <v>4114.3204903824062</v>
      </c>
      <c r="G89" s="37">
        <f>+G87*[25]ACTIVOS!$G$173/[25]ACTIVOS!$G$174</f>
        <v>4598.6294268599331</v>
      </c>
      <c r="H89" s="37">
        <f>+H87*[25]ACTIVOS!$G$173/[25]ACTIVOS!$G$174</f>
        <v>5458.1430191466407</v>
      </c>
      <c r="I89" s="35"/>
      <c r="K89" s="456"/>
      <c r="M89" s="36"/>
      <c r="N89" s="36"/>
      <c r="O89" s="36"/>
      <c r="Q89" s="509">
        <v>29696.875084389336</v>
      </c>
      <c r="R89" s="37">
        <v>6774.8321432534649</v>
      </c>
      <c r="S89" s="37">
        <v>7155.5492746641667</v>
      </c>
      <c r="T89" s="37">
        <v>7459.5231240027097</v>
      </c>
      <c r="U89" s="37">
        <v>8306.9705424689946</v>
      </c>
      <c r="V89" s="35"/>
      <c r="X89" s="456"/>
      <c r="Z89" s="36"/>
      <c r="AA89" s="36"/>
      <c r="AD89" s="509">
        <f t="shared" si="11"/>
        <v>11780.00308064057</v>
      </c>
      <c r="AE89" s="37">
        <f t="shared" si="10"/>
        <v>3029.0530758936802</v>
      </c>
      <c r="AF89" s="37">
        <f t="shared" si="10"/>
        <v>3041.2287842817605</v>
      </c>
      <c r="AG89" s="37">
        <f t="shared" si="10"/>
        <v>2860.8936971427765</v>
      </c>
      <c r="AH89" s="37">
        <f t="shared" si="10"/>
        <v>2848.827523322354</v>
      </c>
      <c r="AI89" s="35"/>
      <c r="AK89" s="456"/>
      <c r="AM89" s="36"/>
      <c r="AN89" s="36"/>
    </row>
    <row r="90" spans="2:40" ht="13.5" customHeight="1">
      <c r="B90" s="25" t="s">
        <v>99</v>
      </c>
      <c r="C90" s="139"/>
      <c r="D90" s="457"/>
      <c r="E90" s="34"/>
      <c r="F90" s="34"/>
      <c r="G90" s="34"/>
      <c r="H90" s="34"/>
      <c r="I90" s="35"/>
      <c r="M90" s="36"/>
      <c r="N90" s="36"/>
      <c r="O90" s="36"/>
      <c r="Q90" s="510"/>
      <c r="R90" s="34"/>
      <c r="S90" s="34"/>
      <c r="T90" s="34"/>
      <c r="U90" s="34"/>
      <c r="V90" s="35"/>
      <c r="Z90" s="36"/>
      <c r="AA90" s="36"/>
      <c r="AD90" s="510">
        <f t="shared" si="11"/>
        <v>0</v>
      </c>
      <c r="AE90" s="34">
        <f t="shared" si="10"/>
        <v>0</v>
      </c>
      <c r="AF90" s="34">
        <f t="shared" si="10"/>
        <v>0</v>
      </c>
      <c r="AG90" s="34">
        <f t="shared" si="10"/>
        <v>0</v>
      </c>
      <c r="AH90" s="34">
        <f t="shared" si="10"/>
        <v>0</v>
      </c>
      <c r="AI90" s="35"/>
      <c r="AM90" s="36"/>
      <c r="AN90" s="36"/>
    </row>
    <row r="91" spans="2:40" ht="14">
      <c r="B91" s="148" t="s">
        <v>110</v>
      </c>
      <c r="C91" s="139"/>
      <c r="D91" s="457">
        <f>SUM(E91:H91)</f>
        <v>27023.835191170074</v>
      </c>
      <c r="E91" s="34">
        <f>+E78*E84</f>
        <v>0</v>
      </c>
      <c r="F91" s="34">
        <f>+F78*F84</f>
        <v>0</v>
      </c>
      <c r="G91" s="34">
        <f>+G78*G84</f>
        <v>3680.7723931148689</v>
      </c>
      <c r="H91" s="34">
        <f>+H78*H84</f>
        <v>23343.062798055205</v>
      </c>
      <c r="I91" s="35"/>
      <c r="K91" s="456"/>
      <c r="M91" s="36"/>
      <c r="N91" s="36"/>
      <c r="O91" s="36"/>
      <c r="Q91" s="510">
        <v>14985.132639654974</v>
      </c>
      <c r="R91" s="34">
        <v>0</v>
      </c>
      <c r="S91" s="34">
        <v>0</v>
      </c>
      <c r="T91" s="34">
        <v>0</v>
      </c>
      <c r="U91" s="34">
        <v>14985.132639654974</v>
      </c>
      <c r="V91" s="35"/>
      <c r="X91" s="456"/>
      <c r="Z91" s="36"/>
      <c r="AA91" s="36"/>
      <c r="AD91" s="510">
        <f t="shared" si="11"/>
        <v>-12038.7025515151</v>
      </c>
      <c r="AE91" s="34">
        <f t="shared" si="10"/>
        <v>0</v>
      </c>
      <c r="AF91" s="34">
        <f t="shared" si="10"/>
        <v>0</v>
      </c>
      <c r="AG91" s="34">
        <f t="shared" si="10"/>
        <v>-3680.7723931148689</v>
      </c>
      <c r="AH91" s="34">
        <f t="shared" si="10"/>
        <v>-8357.9301584002314</v>
      </c>
      <c r="AI91" s="35"/>
      <c r="AK91" s="456"/>
      <c r="AM91" s="36"/>
      <c r="AN91" s="36"/>
    </row>
    <row r="92" spans="2:40" ht="14">
      <c r="B92" s="24" t="s">
        <v>62</v>
      </c>
      <c r="C92" s="139"/>
      <c r="D92" s="457">
        <f>SUM(E92:H92)</f>
        <v>7241.6875180095967</v>
      </c>
      <c r="E92" s="38">
        <f>+E$84*E79</f>
        <v>1282.089315334382</v>
      </c>
      <c r="F92" s="38">
        <f>+F$84*F79</f>
        <v>1467.1453040984534</v>
      </c>
      <c r="G92" s="38">
        <f>+G$84*G79</f>
        <v>2311.5049110638238</v>
      </c>
      <c r="H92" s="38">
        <f>+H$84*H79</f>
        <v>2180.9479875129373</v>
      </c>
      <c r="I92" s="35">
        <f>+I$84*I79</f>
        <v>0</v>
      </c>
      <c r="K92" s="1"/>
      <c r="M92" s="39"/>
      <c r="N92" s="39"/>
      <c r="O92" s="39"/>
      <c r="Q92" s="510">
        <v>16135.123894473314</v>
      </c>
      <c r="R92" s="38">
        <v>3604.9012297143545</v>
      </c>
      <c r="S92" s="38">
        <v>4576.4353171315834</v>
      </c>
      <c r="T92" s="38">
        <v>4167.307019035673</v>
      </c>
      <c r="U92" s="38">
        <v>3786.4803285917028</v>
      </c>
      <c r="V92" s="35"/>
      <c r="X92" s="1"/>
      <c r="Z92" s="39"/>
      <c r="AA92" s="39"/>
      <c r="AD92" s="510">
        <f t="shared" si="11"/>
        <v>8893.4363764637164</v>
      </c>
      <c r="AE92" s="38">
        <f t="shared" si="10"/>
        <v>2322.8119143799722</v>
      </c>
      <c r="AF92" s="38">
        <f t="shared" si="10"/>
        <v>3109.29001303313</v>
      </c>
      <c r="AG92" s="38">
        <f t="shared" si="10"/>
        <v>1855.8021079718492</v>
      </c>
      <c r="AH92" s="38">
        <f t="shared" si="10"/>
        <v>1605.5323410787655</v>
      </c>
      <c r="AI92" s="35"/>
      <c r="AK92" s="1"/>
      <c r="AM92" s="39"/>
      <c r="AN92" s="39"/>
    </row>
    <row r="93" spans="2:40" ht="14">
      <c r="B93" s="24" t="s">
        <v>63</v>
      </c>
      <c r="C93" s="139"/>
      <c r="D93" s="457">
        <f>SUM(E93:H93)</f>
        <v>39854.563709592796</v>
      </c>
      <c r="E93" s="38">
        <f>+E94+E95</f>
        <v>9227.5645120968911</v>
      </c>
      <c r="F93" s="38">
        <f>+F94+F95</f>
        <v>12090.27085107693</v>
      </c>
      <c r="G93" s="38">
        <f>+G94+G95</f>
        <v>9161.9511308021138</v>
      </c>
      <c r="H93" s="38">
        <f>+H94+H95</f>
        <v>9374.777215616863</v>
      </c>
      <c r="I93" s="35">
        <f>+I94+I95</f>
        <v>0</v>
      </c>
      <c r="M93" s="149"/>
      <c r="N93" s="149"/>
      <c r="O93" s="149"/>
      <c r="Q93" s="510">
        <v>39377.625397864402</v>
      </c>
      <c r="R93" s="38">
        <v>9931.3789322943703</v>
      </c>
      <c r="S93" s="38">
        <v>11844.477979530508</v>
      </c>
      <c r="T93" s="38">
        <v>8683.7317450607316</v>
      </c>
      <c r="U93" s="38">
        <v>8918.0367409787941</v>
      </c>
      <c r="V93" s="35"/>
      <c r="Z93" s="149"/>
      <c r="AA93" s="149"/>
      <c r="AD93" s="510">
        <f t="shared" si="11"/>
        <v>-476.93831172839418</v>
      </c>
      <c r="AE93" s="38">
        <f t="shared" si="10"/>
        <v>703.81442019747919</v>
      </c>
      <c r="AF93" s="38">
        <f t="shared" si="10"/>
        <v>-245.79287154642225</v>
      </c>
      <c r="AG93" s="38">
        <f t="shared" si="10"/>
        <v>-478.21938574138221</v>
      </c>
      <c r="AH93" s="38">
        <f t="shared" si="10"/>
        <v>-456.74047463806892</v>
      </c>
      <c r="AI93" s="35"/>
      <c r="AM93" s="149"/>
      <c r="AN93" s="149"/>
    </row>
    <row r="94" spans="2:40" ht="14">
      <c r="B94" s="148" t="s">
        <v>71</v>
      </c>
      <c r="C94" s="139"/>
      <c r="D94" s="439">
        <f>SUM(E94:H94)</f>
        <v>23470.614969955779</v>
      </c>
      <c r="E94" s="38">
        <f t="shared" ref="E94:I95" si="12">+E$84*E81</f>
        <v>6088.0314858192714</v>
      </c>
      <c r="F94" s="38">
        <f t="shared" si="12"/>
        <v>6375.5668325178722</v>
      </c>
      <c r="G94" s="38">
        <f t="shared" si="12"/>
        <v>5400.3230453470187</v>
      </c>
      <c r="H94" s="38">
        <f t="shared" si="12"/>
        <v>5606.6936062716195</v>
      </c>
      <c r="I94" s="35">
        <f t="shared" si="12"/>
        <v>0</v>
      </c>
      <c r="K94" s="1"/>
      <c r="M94" s="150"/>
      <c r="N94" s="150"/>
      <c r="O94" s="150"/>
      <c r="Q94" s="440">
        <v>23097.554296390466</v>
      </c>
      <c r="R94" s="38">
        <v>6589.546322145261</v>
      </c>
      <c r="S94" s="38">
        <v>6213.9986862668784</v>
      </c>
      <c r="T94" s="38">
        <v>5014.4846508965447</v>
      </c>
      <c r="U94" s="38">
        <v>5279.5246370817804</v>
      </c>
      <c r="V94" s="35"/>
      <c r="X94" s="1"/>
      <c r="Z94" s="150"/>
      <c r="AA94" s="150"/>
      <c r="AD94" s="440">
        <f t="shared" si="11"/>
        <v>-373.06067356531275</v>
      </c>
      <c r="AE94" s="38">
        <f t="shared" si="10"/>
        <v>501.51483632598956</v>
      </c>
      <c r="AF94" s="38">
        <f t="shared" si="10"/>
        <v>-161.56814625099378</v>
      </c>
      <c r="AG94" s="38">
        <f t="shared" si="10"/>
        <v>-385.83839445047397</v>
      </c>
      <c r="AH94" s="38">
        <f t="shared" si="10"/>
        <v>-327.16896918983912</v>
      </c>
      <c r="AI94" s="35"/>
      <c r="AK94" s="1"/>
      <c r="AM94" s="150"/>
      <c r="AN94" s="150"/>
    </row>
    <row r="95" spans="2:40" ht="14">
      <c r="B95" s="148" t="s">
        <v>64</v>
      </c>
      <c r="C95" s="139"/>
      <c r="D95" s="439">
        <f>SUM(E95:H95)</f>
        <v>16383.948739637015</v>
      </c>
      <c r="E95" s="38">
        <f t="shared" si="12"/>
        <v>3139.5330262776197</v>
      </c>
      <c r="F95" s="38">
        <f t="shared" si="12"/>
        <v>5714.7040185590567</v>
      </c>
      <c r="G95" s="38">
        <f t="shared" si="12"/>
        <v>3761.6280854550946</v>
      </c>
      <c r="H95" s="38">
        <f t="shared" si="12"/>
        <v>3768.0836093452435</v>
      </c>
      <c r="I95" s="35">
        <f t="shared" si="12"/>
        <v>0</v>
      </c>
      <c r="Q95" s="440">
        <v>16280.071101473941</v>
      </c>
      <c r="R95" s="38">
        <v>3341.8326101491102</v>
      </c>
      <c r="S95" s="38">
        <v>5630.4792932636301</v>
      </c>
      <c r="T95" s="38">
        <v>3669.2470941641864</v>
      </c>
      <c r="U95" s="38">
        <v>3638.5121038970133</v>
      </c>
      <c r="V95" s="35"/>
      <c r="AD95" s="440">
        <f t="shared" si="11"/>
        <v>-103.87763816307415</v>
      </c>
      <c r="AE95" s="38">
        <f t="shared" si="10"/>
        <v>202.29958387149054</v>
      </c>
      <c r="AF95" s="38">
        <f t="shared" si="10"/>
        <v>-84.224725295426651</v>
      </c>
      <c r="AG95" s="38">
        <f t="shared" si="10"/>
        <v>-92.380991290908241</v>
      </c>
      <c r="AH95" s="38">
        <f t="shared" si="10"/>
        <v>-129.57150544823025</v>
      </c>
      <c r="AI95" s="35"/>
    </row>
    <row r="96" spans="2:40" ht="28.5" thickBot="1">
      <c r="B96" s="40" t="s">
        <v>2</v>
      </c>
      <c r="C96" s="143"/>
      <c r="D96" s="511">
        <f>D87+D91+D92+D93</f>
        <v>197898.1259358016</v>
      </c>
      <c r="E96" s="41">
        <f>E87+E91+E92+E93</f>
        <v>36387.228290468745</v>
      </c>
      <c r="F96" s="41">
        <f>F87+F91+F92+F93</f>
        <v>41981.045242759566</v>
      </c>
      <c r="G96" s="41">
        <f>G87+G91+G92+G93</f>
        <v>46923.687680040195</v>
      </c>
      <c r="H96" s="41">
        <f>H87+H91+H92+H93</f>
        <v>72606.164722533096</v>
      </c>
      <c r="I96" s="42">
        <f>I87+I92+I93</f>
        <v>0</v>
      </c>
      <c r="K96" s="11"/>
      <c r="M96" s="43"/>
      <c r="N96" s="43"/>
      <c r="O96" s="43"/>
      <c r="Q96" s="512">
        <v>275657.63174539345</v>
      </c>
      <c r="R96" s="41">
        <v>60339.954406788209</v>
      </c>
      <c r="S96" s="41">
        <v>65854.757591587811</v>
      </c>
      <c r="T96" s="41">
        <v>64384.875017869483</v>
      </c>
      <c r="U96" s="41">
        <v>85078.04472914795</v>
      </c>
      <c r="V96" s="42"/>
      <c r="X96" s="11"/>
      <c r="Z96" s="43"/>
      <c r="AA96" s="43"/>
      <c r="AD96" s="512">
        <f t="shared" si="11"/>
        <v>77759.50580959185</v>
      </c>
      <c r="AE96" s="41">
        <f t="shared" si="10"/>
        <v>23952.726116319463</v>
      </c>
      <c r="AF96" s="41">
        <f t="shared" si="10"/>
        <v>23873.712348828245</v>
      </c>
      <c r="AG96" s="41">
        <f t="shared" si="10"/>
        <v>17461.187337829288</v>
      </c>
      <c r="AH96" s="41">
        <f t="shared" si="10"/>
        <v>12471.880006614854</v>
      </c>
      <c r="AI96" s="42"/>
      <c r="AK96" s="11"/>
      <c r="AM96" s="43"/>
      <c r="AN96" s="43"/>
    </row>
    <row r="97" spans="1:17" ht="13">
      <c r="B97" s="4"/>
      <c r="C97" s="5"/>
      <c r="D97" s="44"/>
      <c r="E97" s="45"/>
      <c r="F97" s="5"/>
      <c r="G97" s="45"/>
      <c r="H97" s="45"/>
      <c r="I97" s="45"/>
      <c r="K97" s="1"/>
    </row>
    <row r="98" spans="1:17" ht="13">
      <c r="B98" s="5" t="s">
        <v>111</v>
      </c>
      <c r="C98" s="5"/>
      <c r="D98" s="5"/>
      <c r="E98" s="5"/>
      <c r="F98" s="5"/>
      <c r="G98" s="5"/>
      <c r="H98" s="5"/>
      <c r="I98" s="44"/>
      <c r="K98" s="394"/>
    </row>
    <row r="99" spans="1:17" ht="13">
      <c r="B99" s="113" t="s">
        <v>112</v>
      </c>
      <c r="C99" s="5"/>
      <c r="D99" s="5"/>
      <c r="E99" s="44"/>
      <c r="F99" s="44"/>
      <c r="G99" s="44"/>
      <c r="H99" s="44"/>
      <c r="I99" s="44"/>
      <c r="K99" s="394"/>
      <c r="Q99" s="11">
        <f>+Q96-D96</f>
        <v>77759.50580959185</v>
      </c>
    </row>
    <row r="100" spans="1:17" ht="13.5" thickBot="1">
      <c r="D100" s="459"/>
      <c r="E100" s="1"/>
      <c r="F100" t="s">
        <v>113</v>
      </c>
    </row>
    <row r="101" spans="1:17" ht="13">
      <c r="F101" s="46" t="s">
        <v>114</v>
      </c>
      <c r="G101" s="47" t="s">
        <v>115</v>
      </c>
      <c r="H101" s="47" t="s">
        <v>116</v>
      </c>
      <c r="I101" s="48" t="s">
        <v>117</v>
      </c>
    </row>
    <row r="102" spans="1:17" ht="21" customHeight="1" thickBot="1">
      <c r="B102" s="1020" t="s">
        <v>118</v>
      </c>
      <c r="C102" s="1021"/>
      <c r="F102" s="151">
        <f>+E84</f>
        <v>0.96697771116375775</v>
      </c>
      <c r="G102" s="152">
        <f>+F84</f>
        <v>0.90515558472690982</v>
      </c>
      <c r="H102" s="152">
        <f>+G84</f>
        <v>0.84728595406431695</v>
      </c>
      <c r="I102" s="153">
        <f>+H84</f>
        <v>0.79311612287214917</v>
      </c>
      <c r="M102" s="1017"/>
      <c r="N102" s="1017"/>
      <c r="O102" s="1017"/>
    </row>
    <row r="103" spans="1:17" ht="18.75" customHeight="1">
      <c r="B103" s="49" t="s">
        <v>119</v>
      </c>
      <c r="C103" s="50">
        <f>+D92</f>
        <v>7241.6875180095967</v>
      </c>
      <c r="D103" s="154"/>
      <c r="E103" s="154"/>
      <c r="F103" s="154"/>
      <c r="G103" s="154"/>
      <c r="M103" s="394"/>
      <c r="N103" s="394"/>
      <c r="O103" s="394"/>
    </row>
    <row r="104" spans="1:17" ht="18.75" customHeight="1">
      <c r="B104" s="49" t="s">
        <v>120</v>
      </c>
      <c r="C104" s="50">
        <f>+G108*F102+H108*G102+I108*H102+J108*I102</f>
        <v>891.0011419040494</v>
      </c>
      <c r="D104" s="154"/>
      <c r="E104" s="154"/>
      <c r="F104" s="154"/>
      <c r="G104" s="155">
        <v>2013</v>
      </c>
      <c r="H104" s="51">
        <v>2014</v>
      </c>
      <c r="I104" s="155">
        <v>2015</v>
      </c>
      <c r="J104" s="51">
        <v>2016</v>
      </c>
      <c r="K104" s="155">
        <v>2017</v>
      </c>
      <c r="M104" s="394"/>
      <c r="N104" s="394"/>
      <c r="O104" s="394"/>
    </row>
    <row r="105" spans="1:17" ht="21" customHeight="1">
      <c r="B105" s="52" t="s">
        <v>121</v>
      </c>
      <c r="C105" s="53">
        <f>+C103/C104</f>
        <v>8.1275850023427285</v>
      </c>
      <c r="D105" s="154"/>
      <c r="E105" s="154"/>
      <c r="F105" s="51" t="s">
        <v>122</v>
      </c>
      <c r="G105" s="54"/>
      <c r="H105" s="54"/>
      <c r="I105" s="54"/>
      <c r="J105" s="54"/>
      <c r="K105" s="54"/>
      <c r="M105" s="394"/>
      <c r="N105" s="394"/>
      <c r="O105" s="394"/>
    </row>
    <row r="106" spans="1:17" ht="13">
      <c r="D106" s="154"/>
      <c r="E106" s="154"/>
      <c r="M106" s="394"/>
      <c r="N106" s="394"/>
      <c r="O106" s="394"/>
    </row>
    <row r="107" spans="1:17" ht="13">
      <c r="G107" s="156" t="s">
        <v>68</v>
      </c>
      <c r="H107" s="51" t="s">
        <v>104</v>
      </c>
      <c r="I107" s="51" t="s">
        <v>105</v>
      </c>
      <c r="J107" s="51" t="s">
        <v>106</v>
      </c>
      <c r="K107" s="36"/>
      <c r="L107" s="36"/>
      <c r="M107" s="36"/>
      <c r="N107" s="36"/>
      <c r="O107" s="36"/>
    </row>
    <row r="108" spans="1:17" ht="13">
      <c r="F108" s="51" t="s">
        <v>122</v>
      </c>
      <c r="G108" s="54">
        <f>+F50+F51+G50+G51+(D24/2+E31)*$D$11+(E24/2+F30)*$D$11+(D24/2+E31)*3%+(E24/2+F30)*3%</f>
        <v>0</v>
      </c>
      <c r="H108" s="54">
        <f>+H50+H51+I50+I51+(E24/2+F31)*$D$11+(F24/2+G30)*$D$11+(E24/2+F31)*3%+(F24/2+G30)*3%</f>
        <v>338.38979999999992</v>
      </c>
      <c r="I108" s="54">
        <f>+J50+J51+K50+K51+(F24/2+G31)*$D$11+(G24/2+H30)*$D$11+(F24/2+G31)*3%+(G24/2+H30)*3%</f>
        <v>690.09255000000007</v>
      </c>
      <c r="J108" s="54">
        <f>+L50+L51+M50+M51+(G24/2+H31)*$D$11+(H24/2+I30)*$D$11+(G24/2+H31)*3%+(H24/2+I30)*3%</f>
        <v>0</v>
      </c>
      <c r="K108" s="36"/>
      <c r="L108" s="36"/>
      <c r="M108" s="36"/>
      <c r="N108" s="36"/>
      <c r="O108" s="36"/>
    </row>
    <row r="109" spans="1:17">
      <c r="A109" s="460"/>
      <c r="B109" s="460"/>
      <c r="C109" s="460"/>
      <c r="D109" s="460"/>
      <c r="E109" s="460"/>
      <c r="F109" s="460"/>
      <c r="G109" s="460"/>
      <c r="H109" s="460"/>
      <c r="I109" s="460"/>
      <c r="J109" s="461"/>
      <c r="K109" s="461"/>
      <c r="L109" s="461"/>
      <c r="M109" s="461"/>
      <c r="N109" s="461"/>
      <c r="O109" s="461"/>
    </row>
    <row r="110" spans="1:17">
      <c r="E110" s="11"/>
      <c r="J110" s="36"/>
      <c r="K110" s="36"/>
      <c r="L110" s="36"/>
      <c r="M110" s="36"/>
      <c r="N110" s="36"/>
      <c r="O110" s="36"/>
    </row>
    <row r="111" spans="1:17">
      <c r="B111" s="133" t="s">
        <v>247</v>
      </c>
      <c r="C111">
        <f>73-58</f>
        <v>15</v>
      </c>
      <c r="J111" s="36"/>
      <c r="K111" s="36"/>
      <c r="L111" s="36"/>
      <c r="M111" s="36"/>
      <c r="N111" s="36"/>
      <c r="O111" s="36"/>
    </row>
    <row r="112" spans="1:17">
      <c r="D112" s="11"/>
      <c r="I112" s="43"/>
      <c r="J112" s="36"/>
      <c r="K112" s="36"/>
      <c r="L112" s="36"/>
      <c r="M112" s="36"/>
      <c r="N112" s="36"/>
      <c r="O112" s="36"/>
    </row>
    <row r="113" spans="2:9" ht="13" thickBot="1"/>
    <row r="114" spans="2:9" ht="13">
      <c r="B114" s="6" t="s">
        <v>37</v>
      </c>
      <c r="C114" s="55" t="s">
        <v>38</v>
      </c>
      <c r="D114" s="55">
        <v>2008</v>
      </c>
      <c r="E114" s="7">
        <v>2009</v>
      </c>
      <c r="F114" s="55">
        <v>2010</v>
      </c>
      <c r="G114" s="55">
        <v>2011</v>
      </c>
      <c r="H114" s="55">
        <v>2012</v>
      </c>
      <c r="I114" s="56">
        <v>2013</v>
      </c>
    </row>
    <row r="115" spans="2:9">
      <c r="B115" s="57" t="s">
        <v>39</v>
      </c>
      <c r="C115" s="58" t="s">
        <v>40</v>
      </c>
      <c r="D115" s="157"/>
      <c r="E115" s="157">
        <v>1.4195243750092958E-2</v>
      </c>
      <c r="F115" s="157">
        <v>1.4195243750092958E-2</v>
      </c>
      <c r="G115" s="157">
        <v>1.4195243750092958E-2</v>
      </c>
      <c r="H115" s="157">
        <v>1.4195243750092958E-2</v>
      </c>
      <c r="I115" s="158">
        <v>1.4195243750092958E-2</v>
      </c>
    </row>
    <row r="116" spans="2:9">
      <c r="B116" s="159" t="s">
        <v>41</v>
      </c>
      <c r="C116" s="59" t="s">
        <v>40</v>
      </c>
      <c r="D116" s="160"/>
      <c r="E116" s="160">
        <v>7.6435927885115966E-3</v>
      </c>
      <c r="F116" s="160">
        <v>7.6435927885115966E-3</v>
      </c>
      <c r="G116" s="160">
        <v>7.6435927885115966E-3</v>
      </c>
      <c r="H116" s="160">
        <v>7.6435927885115966E-3</v>
      </c>
      <c r="I116" s="161">
        <v>7.6435927885115966E-3</v>
      </c>
    </row>
    <row r="117" spans="2:9">
      <c r="B117" s="60" t="s">
        <v>42</v>
      </c>
      <c r="C117" s="61" t="s">
        <v>40</v>
      </c>
      <c r="D117" s="162">
        <v>0.1071</v>
      </c>
      <c r="E117" s="163">
        <v>2.1838836538604554E-2</v>
      </c>
      <c r="F117" s="163">
        <v>2.1838836538604554E-2</v>
      </c>
      <c r="G117" s="163">
        <v>2.1838836538604554E-2</v>
      </c>
      <c r="H117" s="163">
        <v>2.1838836538604554E-2</v>
      </c>
      <c r="I117" s="164">
        <v>2.1838836538604554E-2</v>
      </c>
    </row>
    <row r="118" spans="2:9" ht="13">
      <c r="B118" s="62" t="s">
        <v>43</v>
      </c>
      <c r="C118" s="59"/>
      <c r="D118" s="59"/>
      <c r="E118" s="63"/>
      <c r="F118" s="63"/>
      <c r="G118" s="63"/>
      <c r="H118" s="64"/>
      <c r="I118" s="165"/>
    </row>
    <row r="119" spans="2:9">
      <c r="B119" s="65" t="s">
        <v>44</v>
      </c>
      <c r="C119" s="59" t="s">
        <v>45</v>
      </c>
      <c r="D119" s="399">
        <v>287823.22474260518</v>
      </c>
      <c r="E119" s="399">
        <v>317368.79106403381</v>
      </c>
      <c r="F119" s="399">
        <v>324627.4130175598</v>
      </c>
      <c r="G119" s="399">
        <v>361039.66187036497</v>
      </c>
      <c r="H119" s="399">
        <v>387471.66187036497</v>
      </c>
      <c r="I119" s="462">
        <v>388263.66187036497</v>
      </c>
    </row>
    <row r="120" spans="2:9">
      <c r="B120" s="65" t="s">
        <v>46</v>
      </c>
      <c r="C120" s="59" t="s">
        <v>45</v>
      </c>
      <c r="D120" s="399">
        <v>23032.303161225453</v>
      </c>
      <c r="E120" s="399">
        <v>23032.303161225453</v>
      </c>
      <c r="F120" s="399">
        <v>23032.303161225453</v>
      </c>
      <c r="G120" s="399">
        <v>36259.303161225456</v>
      </c>
      <c r="H120" s="399">
        <v>43187.303161225456</v>
      </c>
      <c r="I120" s="462">
        <v>43187.303161225456</v>
      </c>
    </row>
    <row r="121" spans="2:9">
      <c r="B121" s="65" t="s">
        <v>47</v>
      </c>
      <c r="C121" s="59" t="s">
        <v>45</v>
      </c>
      <c r="D121" s="399">
        <v>2000.9</v>
      </c>
      <c r="E121" s="399">
        <v>2000.9</v>
      </c>
      <c r="F121" s="399">
        <v>2000.9</v>
      </c>
      <c r="G121" s="399">
        <v>2000.9</v>
      </c>
      <c r="H121" s="399">
        <v>2000.9</v>
      </c>
      <c r="I121" s="462">
        <v>2000.9</v>
      </c>
    </row>
    <row r="122" spans="2:9">
      <c r="B122" s="65" t="s">
        <v>48</v>
      </c>
      <c r="C122" s="59" t="s">
        <v>45</v>
      </c>
      <c r="D122" s="399">
        <v>173831.96291572356</v>
      </c>
      <c r="E122" s="399">
        <v>194289.63456082254</v>
      </c>
      <c r="F122" s="399">
        <v>191048.37460614389</v>
      </c>
      <c r="G122" s="399">
        <v>217250.31563437084</v>
      </c>
      <c r="H122" s="399">
        <v>231739.0052868487</v>
      </c>
      <c r="I122" s="462">
        <v>219971.35993932659</v>
      </c>
    </row>
    <row r="123" spans="2:9">
      <c r="B123" s="65" t="s">
        <v>49</v>
      </c>
      <c r="C123" s="59" t="s">
        <v>45</v>
      </c>
      <c r="D123" s="399">
        <v>11189.651451084055</v>
      </c>
      <c r="E123" s="399">
        <v>10597.665134563566</v>
      </c>
      <c r="F123" s="399">
        <v>10005.678818043076</v>
      </c>
      <c r="G123" s="399">
        <v>22427.927729634444</v>
      </c>
      <c r="H123" s="399">
        <v>28268.215585062309</v>
      </c>
      <c r="I123" s="462">
        <v>27071.579268541824</v>
      </c>
    </row>
    <row r="124" spans="2:9">
      <c r="B124" s="65" t="s">
        <v>50</v>
      </c>
      <c r="C124" s="59" t="s">
        <v>45</v>
      </c>
      <c r="D124" s="399">
        <v>549.3154999999997</v>
      </c>
      <c r="E124" s="399">
        <v>479.28399999999965</v>
      </c>
      <c r="F124" s="399">
        <v>409.2524999999996</v>
      </c>
      <c r="G124" s="399">
        <v>339.22099999999955</v>
      </c>
      <c r="H124" s="399">
        <v>269.1894999999995</v>
      </c>
      <c r="I124" s="462">
        <v>199.15799999999945</v>
      </c>
    </row>
    <row r="125" spans="2:9" ht="13">
      <c r="B125" s="66" t="s">
        <v>51</v>
      </c>
      <c r="C125" s="59"/>
      <c r="D125" s="59"/>
      <c r="E125" s="63"/>
      <c r="F125" s="63"/>
      <c r="G125" s="63"/>
      <c r="H125" s="63"/>
      <c r="I125" s="165"/>
    </row>
    <row r="126" spans="2:9">
      <c r="B126" s="65" t="s">
        <v>52</v>
      </c>
      <c r="C126" s="59" t="s">
        <v>45</v>
      </c>
      <c r="D126" s="399">
        <v>424886.69183745852</v>
      </c>
      <c r="E126" s="399">
        <v>456675.17482555378</v>
      </c>
      <c r="F126" s="399">
        <v>469585.88011241314</v>
      </c>
      <c r="G126" s="399">
        <v>510048.12896521832</v>
      </c>
      <c r="H126" s="399">
        <v>536480.12896521832</v>
      </c>
      <c r="I126" s="462">
        <v>537272.12896521832</v>
      </c>
    </row>
    <row r="127" spans="2:9">
      <c r="B127" s="65" t="s">
        <v>53</v>
      </c>
      <c r="C127" s="59" t="s">
        <v>45</v>
      </c>
      <c r="D127" s="399">
        <v>31847.854297104881</v>
      </c>
      <c r="E127" s="399">
        <v>31847.854297104881</v>
      </c>
      <c r="F127" s="399">
        <v>31847.854297104881</v>
      </c>
      <c r="G127" s="399">
        <v>45074.854297104881</v>
      </c>
      <c r="H127" s="399">
        <v>52002.854297104881</v>
      </c>
      <c r="I127" s="462">
        <v>52002.854297104881</v>
      </c>
    </row>
    <row r="128" spans="2:9" ht="13">
      <c r="B128" s="66" t="s">
        <v>54</v>
      </c>
      <c r="C128" s="59"/>
      <c r="D128" s="59"/>
      <c r="E128" s="63"/>
      <c r="F128" s="63"/>
      <c r="G128" s="63"/>
      <c r="H128" s="63"/>
      <c r="I128" s="165"/>
    </row>
    <row r="129" spans="2:15">
      <c r="B129" s="65" t="s">
        <v>52</v>
      </c>
      <c r="C129" s="59" t="s">
        <v>45</v>
      </c>
      <c r="D129" s="463" t="s">
        <v>55</v>
      </c>
      <c r="E129" s="399">
        <v>17520.674741071463</v>
      </c>
      <c r="F129" s="399">
        <v>609.58333333333337</v>
      </c>
      <c r="G129" s="399">
        <v>19154.5</v>
      </c>
      <c r="H129" s="399">
        <v>13267.000000000002</v>
      </c>
      <c r="I129" s="462">
        <v>0</v>
      </c>
    </row>
    <row r="130" spans="2:15" ht="13" thickBot="1">
      <c r="B130" s="67" t="s">
        <v>53</v>
      </c>
      <c r="C130" s="68" t="s">
        <v>45</v>
      </c>
      <c r="D130" s="464" t="s">
        <v>55</v>
      </c>
      <c r="E130" s="465">
        <v>0</v>
      </c>
      <c r="F130" s="465">
        <v>0</v>
      </c>
      <c r="G130" s="465">
        <v>8278</v>
      </c>
      <c r="H130" s="465">
        <v>3848.5</v>
      </c>
      <c r="I130" s="466">
        <v>0</v>
      </c>
    </row>
    <row r="131" spans="2:15" ht="13" thickBot="1"/>
    <row r="132" spans="2:15" ht="13">
      <c r="B132" s="69" t="s">
        <v>56</v>
      </c>
      <c r="C132" s="70"/>
      <c r="D132" s="71">
        <v>2008</v>
      </c>
      <c r="E132" s="72">
        <v>2009</v>
      </c>
      <c r="F132" s="71">
        <v>2010</v>
      </c>
      <c r="G132" s="71">
        <v>2011</v>
      </c>
      <c r="H132" s="71">
        <v>2012</v>
      </c>
      <c r="I132" s="73">
        <v>2013</v>
      </c>
      <c r="J132" s="36"/>
      <c r="K132" s="36"/>
      <c r="L132" s="36"/>
      <c r="M132" s="36"/>
      <c r="N132" s="36"/>
      <c r="O132" s="36"/>
    </row>
    <row r="133" spans="2:15" ht="13">
      <c r="B133" s="74"/>
      <c r="C133" s="75"/>
      <c r="D133" s="75"/>
      <c r="E133" s="76"/>
      <c r="F133" s="77"/>
      <c r="G133" s="77"/>
      <c r="H133" s="77"/>
      <c r="I133" s="78"/>
      <c r="K133" s="1"/>
      <c r="M133" s="166"/>
      <c r="N133" s="166"/>
      <c r="O133" s="166"/>
    </row>
    <row r="134" spans="2:15" ht="13">
      <c r="B134" s="14" t="s">
        <v>57</v>
      </c>
      <c r="C134" s="79"/>
      <c r="D134" s="79"/>
      <c r="E134" s="407">
        <v>39243.424331555376</v>
      </c>
      <c r="F134" s="407">
        <v>41360.155229695963</v>
      </c>
      <c r="G134" s="407">
        <v>43396.556965986703</v>
      </c>
      <c r="H134" s="407">
        <v>48060.308411613427</v>
      </c>
      <c r="I134" s="408">
        <v>49094.994656424533</v>
      </c>
    </row>
    <row r="135" spans="2:15">
      <c r="B135" s="159" t="s">
        <v>58</v>
      </c>
      <c r="C135" s="59" t="s">
        <v>45</v>
      </c>
      <c r="D135" s="80"/>
      <c r="E135" s="467">
        <v>6280.0804054189621</v>
      </c>
      <c r="F135" s="467">
        <v>6491.2686052677118</v>
      </c>
      <c r="G135" s="467">
        <v>6937.788826208789</v>
      </c>
      <c r="H135" s="467">
        <v>7428.5858137726054</v>
      </c>
      <c r="I135" s="468">
        <v>7615.4661977425794</v>
      </c>
      <c r="M135" s="43"/>
      <c r="N135" s="43"/>
      <c r="O135" s="43"/>
    </row>
    <row r="136" spans="2:15" ht="13">
      <c r="B136" s="159" t="s">
        <v>59</v>
      </c>
      <c r="C136" s="59" t="s">
        <v>45</v>
      </c>
      <c r="D136" s="80"/>
      <c r="E136" s="467">
        <v>3381.5817567640584</v>
      </c>
      <c r="F136" s="467">
        <v>3495.2984797595391</v>
      </c>
      <c r="G136" s="467">
        <v>3735.7324448816576</v>
      </c>
      <c r="H136" s="467">
        <v>4000.007745877559</v>
      </c>
      <c r="I136" s="468">
        <v>4100.6356449383138</v>
      </c>
      <c r="K136" s="1"/>
    </row>
    <row r="137" spans="2:15" ht="13">
      <c r="B137" s="159" t="s">
        <v>60</v>
      </c>
      <c r="C137" s="59" t="s">
        <v>45</v>
      </c>
      <c r="D137" s="80"/>
      <c r="E137" s="399">
        <v>9087.8946763296135</v>
      </c>
      <c r="F137" s="399">
        <v>10499.881908204616</v>
      </c>
      <c r="G137" s="399">
        <v>10210.307824578251</v>
      </c>
      <c r="H137" s="399">
        <v>11943.310347522145</v>
      </c>
      <c r="I137" s="462">
        <v>12559.645347522148</v>
      </c>
      <c r="K137" s="394"/>
    </row>
    <row r="138" spans="2:15" ht="13">
      <c r="B138" s="159" t="s">
        <v>61</v>
      </c>
      <c r="C138" s="59" t="s">
        <v>45</v>
      </c>
      <c r="D138" s="80"/>
      <c r="E138" s="467">
        <v>20493.867493042748</v>
      </c>
      <c r="F138" s="467">
        <v>20873.706236464095</v>
      </c>
      <c r="G138" s="467">
        <v>22512.727870318009</v>
      </c>
      <c r="H138" s="467">
        <v>24688.404504441118</v>
      </c>
      <c r="I138" s="468">
        <v>24819.247466221495</v>
      </c>
      <c r="K138" s="394"/>
    </row>
    <row r="139" spans="2:15" ht="13">
      <c r="B139" s="102"/>
      <c r="C139" s="80"/>
      <c r="D139" s="80"/>
      <c r="E139" s="167"/>
      <c r="F139" s="167"/>
      <c r="G139" s="167"/>
      <c r="H139" s="167"/>
      <c r="I139" s="168"/>
      <c r="K139" s="394"/>
    </row>
    <row r="140" spans="2:15" ht="13">
      <c r="B140" s="14" t="s">
        <v>62</v>
      </c>
      <c r="C140" s="79"/>
      <c r="D140" s="79"/>
      <c r="E140" s="407">
        <v>2485.9180710313603</v>
      </c>
      <c r="F140" s="407">
        <v>2422.5163365320159</v>
      </c>
      <c r="G140" s="407">
        <v>3639.2350627873798</v>
      </c>
      <c r="H140" s="407">
        <v>4970.3466918306931</v>
      </c>
      <c r="I140" s="408">
        <v>5359.8440402160068</v>
      </c>
      <c r="K140" s="394"/>
    </row>
    <row r="141" spans="2:15">
      <c r="B141" s="159" t="s">
        <v>58</v>
      </c>
      <c r="C141" s="59" t="s">
        <v>45</v>
      </c>
      <c r="D141" s="80"/>
      <c r="E141" s="399">
        <v>452.08805466484921</v>
      </c>
      <c r="F141" s="399">
        <v>452.08805466484921</v>
      </c>
      <c r="G141" s="399">
        <v>569.59628242811868</v>
      </c>
      <c r="H141" s="399">
        <v>694.4789393195615</v>
      </c>
      <c r="I141" s="462">
        <v>738.19319244797282</v>
      </c>
    </row>
    <row r="142" spans="2:15">
      <c r="B142" s="159" t="s">
        <v>59</v>
      </c>
      <c r="C142" s="59" t="s">
        <v>45</v>
      </c>
      <c r="D142" s="80"/>
      <c r="E142" s="399">
        <v>243.43202943491892</v>
      </c>
      <c r="F142" s="399">
        <v>243.43202943491892</v>
      </c>
      <c r="G142" s="399">
        <v>306.70569053821794</v>
      </c>
      <c r="H142" s="399">
        <v>373.95019809514872</v>
      </c>
      <c r="I142" s="462">
        <v>397.48864208737018</v>
      </c>
    </row>
    <row r="143" spans="2:15">
      <c r="B143" s="159" t="s">
        <v>60</v>
      </c>
      <c r="C143" s="59" t="s">
        <v>45</v>
      </c>
      <c r="D143" s="80"/>
      <c r="E143" s="399">
        <v>591.98631652049005</v>
      </c>
      <c r="F143" s="399">
        <v>591.98631652049005</v>
      </c>
      <c r="G143" s="399">
        <v>804.75108840862993</v>
      </c>
      <c r="H143" s="399">
        <v>1087.7121445721336</v>
      </c>
      <c r="I143" s="462">
        <v>1196.63631652049</v>
      </c>
    </row>
    <row r="144" spans="2:15">
      <c r="B144" s="159" t="s">
        <v>61</v>
      </c>
      <c r="C144" s="59" t="s">
        <v>45</v>
      </c>
      <c r="D144" s="80"/>
      <c r="E144" s="399">
        <v>1198.4116704111023</v>
      </c>
      <c r="F144" s="399">
        <v>1135.0099359117578</v>
      </c>
      <c r="G144" s="399">
        <v>1958.1820014124132</v>
      </c>
      <c r="H144" s="399">
        <v>2814.2054098438489</v>
      </c>
      <c r="I144" s="462">
        <v>3027.5258891601734</v>
      </c>
    </row>
    <row r="145" spans="2:9">
      <c r="B145" s="159"/>
      <c r="C145" s="80"/>
      <c r="D145" s="80"/>
      <c r="E145" s="399"/>
      <c r="F145" s="399"/>
      <c r="G145" s="399"/>
      <c r="H145" s="399"/>
      <c r="I145" s="462"/>
    </row>
    <row r="146" spans="2:9" ht="13">
      <c r="B146" s="81" t="s">
        <v>63</v>
      </c>
      <c r="C146" s="79"/>
      <c r="D146" s="79"/>
      <c r="E146" s="407">
        <v>5403.5136870373417</v>
      </c>
      <c r="F146" s="407">
        <v>5587.413313387342</v>
      </c>
      <c r="G146" s="407">
        <v>5681.212939737341</v>
      </c>
      <c r="H146" s="407">
        <v>5758.0125660873418</v>
      </c>
      <c r="I146" s="408">
        <v>5888.2121924373414</v>
      </c>
    </row>
    <row r="147" spans="2:9">
      <c r="B147" s="102" t="s">
        <v>67</v>
      </c>
      <c r="C147" s="59" t="s">
        <v>45</v>
      </c>
      <c r="D147" s="469"/>
      <c r="E147" s="469">
        <v>2697.6504969873417</v>
      </c>
      <c r="F147" s="469">
        <v>2697.6504969873417</v>
      </c>
      <c r="G147" s="469">
        <v>2697.6504969873417</v>
      </c>
      <c r="H147" s="469">
        <v>2697.6504969873417</v>
      </c>
      <c r="I147" s="470">
        <v>2697.6504969873417</v>
      </c>
    </row>
    <row r="148" spans="2:9">
      <c r="B148" s="102" t="s">
        <v>64</v>
      </c>
      <c r="C148" s="59" t="s">
        <v>45</v>
      </c>
      <c r="D148" s="469"/>
      <c r="E148" s="469">
        <v>2705.86319005</v>
      </c>
      <c r="F148" s="469">
        <v>2889.7628164000002</v>
      </c>
      <c r="G148" s="469">
        <v>2983.5624427499997</v>
      </c>
      <c r="H148" s="469">
        <v>3060.3620691000001</v>
      </c>
      <c r="I148" s="470">
        <v>3190.5616954499997</v>
      </c>
    </row>
    <row r="149" spans="2:9">
      <c r="B149" s="159"/>
      <c r="C149" s="80"/>
      <c r="D149" s="80"/>
      <c r="E149" s="82"/>
      <c r="F149" s="82"/>
      <c r="G149" s="82"/>
      <c r="H149" s="83"/>
      <c r="I149" s="84"/>
    </row>
    <row r="150" spans="2:9" ht="13.5" thickBot="1">
      <c r="B150" s="16" t="s">
        <v>2</v>
      </c>
      <c r="C150" s="85"/>
      <c r="D150" s="85"/>
      <c r="E150" s="471">
        <v>47132.856089624074</v>
      </c>
      <c r="F150" s="471">
        <v>49370.084879615322</v>
      </c>
      <c r="G150" s="471">
        <v>52717.004968511428</v>
      </c>
      <c r="H150" s="471">
        <v>58788.667669531467</v>
      </c>
      <c r="I150" s="472">
        <v>60343.05088907788</v>
      </c>
    </row>
  </sheetData>
  <mergeCells count="17">
    <mergeCell ref="B3:I3"/>
    <mergeCell ref="B4:I4"/>
    <mergeCell ref="B5:I5"/>
    <mergeCell ref="Q5:V5"/>
    <mergeCell ref="AD5:AI5"/>
    <mergeCell ref="B33:C34"/>
    <mergeCell ref="B64:I64"/>
    <mergeCell ref="Q64:V64"/>
    <mergeCell ref="AD64:AI64"/>
    <mergeCell ref="B102:C102"/>
    <mergeCell ref="M102:O102"/>
    <mergeCell ref="B62:I62"/>
    <mergeCell ref="Q62:V62"/>
    <mergeCell ref="AD62:AI62"/>
    <mergeCell ref="B63:I63"/>
    <mergeCell ref="Q63:V63"/>
    <mergeCell ref="AD63:AI6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39" orientation="landscape" r:id="rId1"/>
  <rowBreaks count="2" manualBreakCount="2">
    <brk id="96" max="16383" man="1"/>
    <brk id="108" max="16383" man="1"/>
  </rowBreaks>
  <colBreaks count="1" manualBreakCount="1">
    <brk id="14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3:N291"/>
  <sheetViews>
    <sheetView showGridLines="0" workbookViewId="0">
      <selection activeCell="A11" sqref="A11:N15"/>
    </sheetView>
  </sheetViews>
  <sheetFormatPr baseColWidth="10" defaultColWidth="11.453125" defaultRowHeight="13"/>
  <cols>
    <col min="1" max="16384" width="11.453125" style="260"/>
  </cols>
  <sheetData>
    <row r="3" spans="2:14" ht="14">
      <c r="B3" s="258" t="s">
        <v>123</v>
      </c>
      <c r="C3" s="259">
        <v>3</v>
      </c>
      <c r="D3" s="259" t="s">
        <v>215</v>
      </c>
    </row>
    <row r="4" spans="2:14">
      <c r="B4" s="351"/>
      <c r="C4" s="352" t="s">
        <v>197</v>
      </c>
      <c r="D4" s="263"/>
      <c r="E4" s="264" t="s">
        <v>126</v>
      </c>
      <c r="F4" s="265"/>
      <c r="G4" s="266" t="s">
        <v>127</v>
      </c>
    </row>
    <row r="5" spans="2:14" ht="13.5">
      <c r="B5" s="308" t="s">
        <v>128</v>
      </c>
      <c r="C5" s="353">
        <v>62040.60506720579</v>
      </c>
      <c r="D5" s="354">
        <f>C5/$C$5</f>
        <v>1</v>
      </c>
      <c r="E5" s="355" t="e">
        <f>SUM(E6:E7)</f>
        <v>#VALUE!</v>
      </c>
      <c r="F5" s="91" t="e">
        <f>E5/$D$3</f>
        <v>#VALUE!</v>
      </c>
      <c r="G5" s="271" t="s">
        <v>129</v>
      </c>
      <c r="I5" s="272" t="s">
        <v>130</v>
      </c>
      <c r="J5" s="87">
        <v>0.7</v>
      </c>
      <c r="K5" s="356">
        <f>J5*C5</f>
        <v>43428.423547044047</v>
      </c>
    </row>
    <row r="6" spans="2:14">
      <c r="B6" s="357" t="s">
        <v>110</v>
      </c>
      <c r="C6" s="358">
        <f>0.85617724*C5</f>
        <v>53117.754014370264</v>
      </c>
      <c r="D6" s="93">
        <f t="shared" ref="D6:D7" si="0">C6/$C$5</f>
        <v>0.85617723999999995</v>
      </c>
      <c r="E6" s="359" t="e">
        <f>SUMIFS([16]Ram!H4:H1002,[16]Ram!D4:D1002,230,[16]Ram!G4:G1002,"S")</f>
        <v>#VALUE!</v>
      </c>
      <c r="F6" s="92" t="e">
        <f>E6/$D$3</f>
        <v>#VALUE!</v>
      </c>
      <c r="G6" s="360" t="e">
        <f>C6/E6</f>
        <v>#VALUE!</v>
      </c>
      <c r="I6" s="272" t="s">
        <v>131</v>
      </c>
      <c r="J6" s="87">
        <v>0.3</v>
      </c>
      <c r="K6" s="356">
        <f>J6*C5</f>
        <v>18612.181520161736</v>
      </c>
    </row>
    <row r="7" spans="2:14">
      <c r="B7" s="361" t="s">
        <v>132</v>
      </c>
      <c r="C7" s="362">
        <f>0.14382276*C5</f>
        <v>8922.8510528355218</v>
      </c>
      <c r="D7" s="90">
        <f t="shared" si="0"/>
        <v>0.14382275999999999</v>
      </c>
      <c r="E7" s="363" t="e">
        <f>SUMIFS([16]Ram!H4:H1002,[16]Ram!D4:D1002,115,[16]Ram!G4:G1002,"S")</f>
        <v>#VALUE!</v>
      </c>
      <c r="F7" s="94" t="e">
        <f>E7/$D$3</f>
        <v>#VALUE!</v>
      </c>
      <c r="G7" s="364" t="e">
        <f>C7/E7</f>
        <v>#VALUE!</v>
      </c>
    </row>
    <row r="8" spans="2:14">
      <c r="B8" s="283"/>
      <c r="C8" s="283"/>
      <c r="I8" s="285" t="s">
        <v>226</v>
      </c>
      <c r="N8" s="286">
        <v>9007.1340632439369</v>
      </c>
    </row>
    <row r="9" spans="2:14" ht="13.5">
      <c r="B9" s="302" t="s">
        <v>133</v>
      </c>
      <c r="C9" s="353">
        <v>0</v>
      </c>
      <c r="D9" s="86">
        <v>1</v>
      </c>
      <c r="E9" s="365" t="e">
        <f>SUMIFS([16]Ram!H4:H1002,[16]Ram!D4:D1002,230,[16]Ram!G4:G1002,"SD")</f>
        <v>#VALUE!</v>
      </c>
      <c r="F9" s="86">
        <v>1</v>
      </c>
      <c r="G9" s="366">
        <f>IF(C9&gt;0,C9/E9,0)</f>
        <v>0</v>
      </c>
      <c r="H9" s="260" t="s">
        <v>134</v>
      </c>
    </row>
    <row r="11" spans="2:14">
      <c r="B11" s="289" t="s">
        <v>264</v>
      </c>
    </row>
    <row r="12" spans="2:14">
      <c r="B12" s="290" t="s">
        <v>135</v>
      </c>
      <c r="C12" s="291" t="s">
        <v>16</v>
      </c>
      <c r="D12" s="292" t="s">
        <v>17</v>
      </c>
      <c r="E12" s="292" t="s">
        <v>18</v>
      </c>
      <c r="F12" s="292" t="s">
        <v>19</v>
      </c>
      <c r="G12" s="292" t="s">
        <v>20</v>
      </c>
      <c r="H12" s="292" t="s">
        <v>21</v>
      </c>
      <c r="I12" s="292" t="s">
        <v>22</v>
      </c>
      <c r="J12" s="292" t="s">
        <v>23</v>
      </c>
      <c r="K12" s="292" t="s">
        <v>24</v>
      </c>
      <c r="L12" s="293" t="s">
        <v>25</v>
      </c>
      <c r="M12" s="294" t="s">
        <v>15</v>
      </c>
    </row>
    <row r="13" spans="2:14">
      <c r="B13" s="295" t="s">
        <v>136</v>
      </c>
      <c r="C13" s="367">
        <f>E19</f>
        <v>260.2</v>
      </c>
      <c r="D13" s="367">
        <f>E26</f>
        <v>537.77</v>
      </c>
      <c r="E13" s="367">
        <f>E33</f>
        <v>169.17</v>
      </c>
      <c r="F13" s="367">
        <f>E43</f>
        <v>435.47300000000001</v>
      </c>
      <c r="G13" s="367">
        <f>E73</f>
        <v>397.30999999999995</v>
      </c>
      <c r="H13" s="367">
        <f>E88</f>
        <v>105.8</v>
      </c>
      <c r="I13" s="367">
        <f>E93</f>
        <v>188.76</v>
      </c>
      <c r="J13" s="367">
        <f>E98</f>
        <v>260</v>
      </c>
      <c r="K13" s="367">
        <f>E101</f>
        <v>577.4</v>
      </c>
      <c r="L13" s="367">
        <f>E109</f>
        <v>254.02999999999997</v>
      </c>
      <c r="M13" s="368">
        <f>SUM(C13:L13)</f>
        <v>3185.9130000000005</v>
      </c>
      <c r="N13" s="369">
        <f>SUM(E19:E114)-E19-E26-E33-E43-E73-E88-E93-E98-E101-E109</f>
        <v>3185.9129999999996</v>
      </c>
    </row>
    <row r="14" spans="2:14">
      <c r="B14" s="299" t="s">
        <v>137</v>
      </c>
      <c r="C14" s="370">
        <f>K19</f>
        <v>28.46</v>
      </c>
      <c r="D14" s="370">
        <f>K24</f>
        <v>0</v>
      </c>
      <c r="E14" s="370">
        <f>K26</f>
        <v>0.08</v>
      </c>
      <c r="F14" s="370">
        <f>K30</f>
        <v>89.52</v>
      </c>
      <c r="G14" s="370">
        <f>K36</f>
        <v>181.83999999999997</v>
      </c>
      <c r="H14" s="370">
        <f>K45</f>
        <v>123.02000000000001</v>
      </c>
      <c r="I14" s="370">
        <f>K51</f>
        <v>1067.1000000000006</v>
      </c>
      <c r="J14" s="370">
        <f>K65</f>
        <v>1.67</v>
      </c>
      <c r="K14" s="370">
        <f>K69</f>
        <v>178.71699999999998</v>
      </c>
      <c r="L14" s="370">
        <f>K76</f>
        <v>42.74</v>
      </c>
      <c r="M14" s="371">
        <f>SUM(C14:L14)</f>
        <v>1713.1470000000006</v>
      </c>
      <c r="N14" s="369">
        <f>SUM(K19:K114)-K19-K24-K26-K30-K36-K45-K51-K65-K69-K76</f>
        <v>1713.1469999999993</v>
      </c>
    </row>
    <row r="17" spans="2:13">
      <c r="B17" s="289" t="s">
        <v>138</v>
      </c>
      <c r="C17" s="302"/>
      <c r="D17" s="302"/>
      <c r="E17" s="302"/>
      <c r="F17" s="302"/>
      <c r="G17" s="302"/>
      <c r="H17" s="303" t="s">
        <v>139</v>
      </c>
      <c r="I17" s="302"/>
      <c r="J17" s="302"/>
      <c r="K17" s="302"/>
      <c r="L17" s="302"/>
      <c r="M17" s="302"/>
    </row>
    <row r="18" spans="2:13" ht="26">
      <c r="B18" s="304" t="s">
        <v>140</v>
      </c>
      <c r="C18" s="305"/>
      <c r="D18" s="306" t="s">
        <v>141</v>
      </c>
      <c r="E18" s="307" t="s">
        <v>136</v>
      </c>
      <c r="F18" s="307" t="s">
        <v>142</v>
      </c>
      <c r="H18" s="308" t="s">
        <v>140</v>
      </c>
      <c r="I18" s="309"/>
      <c r="J18" s="310" t="s">
        <v>141</v>
      </c>
      <c r="K18" s="311" t="s">
        <v>137</v>
      </c>
    </row>
    <row r="19" spans="2:13" ht="13.5">
      <c r="B19" s="312">
        <v>1</v>
      </c>
      <c r="C19" s="313"/>
      <c r="D19" s="314"/>
      <c r="E19" s="315">
        <f>SUM(E20:E25)</f>
        <v>260.2</v>
      </c>
      <c r="F19" s="316"/>
      <c r="H19" s="312">
        <v>1</v>
      </c>
      <c r="I19" s="313"/>
      <c r="J19" s="314"/>
      <c r="K19" s="315">
        <f>SUM(K20:K23)</f>
        <v>28.46</v>
      </c>
    </row>
    <row r="20" spans="2:13" ht="13.5">
      <c r="B20" s="317" t="s">
        <v>79</v>
      </c>
      <c r="D20" s="318">
        <v>6014</v>
      </c>
      <c r="E20" s="319">
        <v>88.2</v>
      </c>
      <c r="F20" s="320">
        <v>0</v>
      </c>
      <c r="H20" s="321" t="s">
        <v>87</v>
      </c>
      <c r="J20" s="318"/>
      <c r="K20" s="319"/>
    </row>
    <row r="21" spans="2:13">
      <c r="B21" s="317" t="s">
        <v>27</v>
      </c>
      <c r="D21" s="318">
        <v>6014</v>
      </c>
      <c r="E21" s="319">
        <v>56</v>
      </c>
      <c r="F21" s="320">
        <v>0</v>
      </c>
      <c r="H21" s="317" t="s">
        <v>143</v>
      </c>
      <c r="J21" s="318">
        <v>6014</v>
      </c>
      <c r="K21" s="319">
        <v>27.6</v>
      </c>
    </row>
    <row r="22" spans="2:13">
      <c r="B22" s="317" t="s">
        <v>144</v>
      </c>
      <c r="D22" s="318">
        <v>6014</v>
      </c>
      <c r="E22" s="319">
        <v>10</v>
      </c>
      <c r="F22" s="320">
        <v>0</v>
      </c>
      <c r="H22" s="317" t="s">
        <v>145</v>
      </c>
      <c r="J22" s="318">
        <v>6014</v>
      </c>
      <c r="K22" s="319">
        <v>0.86</v>
      </c>
    </row>
    <row r="23" spans="2:13">
      <c r="B23" s="317" t="s">
        <v>198</v>
      </c>
      <c r="D23" s="318">
        <v>6014</v>
      </c>
      <c r="E23" s="319">
        <v>56</v>
      </c>
      <c r="F23" s="320">
        <v>0</v>
      </c>
      <c r="H23" s="324" t="s">
        <v>146</v>
      </c>
      <c r="I23" s="325"/>
      <c r="J23" s="326"/>
      <c r="K23" s="327"/>
    </row>
    <row r="24" spans="2:13" ht="13.5">
      <c r="B24" s="317" t="s">
        <v>216</v>
      </c>
      <c r="D24" s="318">
        <v>6014</v>
      </c>
      <c r="E24" s="319">
        <v>50</v>
      </c>
      <c r="F24" s="320">
        <v>7</v>
      </c>
      <c r="H24" s="328">
        <v>2</v>
      </c>
      <c r="I24" s="329"/>
      <c r="J24" s="330"/>
      <c r="K24" s="331">
        <f>SUM(K25)</f>
        <v>0</v>
      </c>
    </row>
    <row r="25" spans="2:13">
      <c r="B25" s="323" t="s">
        <v>146</v>
      </c>
      <c r="D25" s="318"/>
      <c r="E25" s="319"/>
      <c r="F25" s="320"/>
      <c r="H25" s="324" t="s">
        <v>146</v>
      </c>
      <c r="I25" s="325"/>
      <c r="J25" s="326"/>
      <c r="K25" s="327"/>
    </row>
    <row r="26" spans="2:13" ht="13.5">
      <c r="B26" s="328">
        <v>2</v>
      </c>
      <c r="C26" s="329"/>
      <c r="D26" s="330"/>
      <c r="E26" s="331">
        <f>SUM(E27:E32)</f>
        <v>537.77</v>
      </c>
      <c r="F26" s="332"/>
      <c r="H26" s="312">
        <v>3</v>
      </c>
      <c r="I26" s="313"/>
      <c r="J26" s="314"/>
      <c r="K26" s="315">
        <f>SUM(K27:K29)</f>
        <v>0.08</v>
      </c>
    </row>
    <row r="27" spans="2:13" ht="13.5">
      <c r="B27" s="317" t="s">
        <v>28</v>
      </c>
      <c r="D27" s="318">
        <v>6096</v>
      </c>
      <c r="E27" s="319">
        <v>300</v>
      </c>
      <c r="F27" s="320">
        <v>0</v>
      </c>
      <c r="H27" s="321" t="s">
        <v>87</v>
      </c>
      <c r="J27" s="318"/>
      <c r="K27" s="319"/>
    </row>
    <row r="28" spans="2:13">
      <c r="B28" s="317" t="s">
        <v>29</v>
      </c>
      <c r="D28" s="318">
        <v>6179</v>
      </c>
      <c r="E28" s="319">
        <v>120</v>
      </c>
      <c r="F28" s="320">
        <v>0</v>
      </c>
      <c r="H28" s="317" t="s">
        <v>88</v>
      </c>
      <c r="J28" s="318">
        <v>6087</v>
      </c>
      <c r="K28" s="319">
        <v>0.08</v>
      </c>
    </row>
    <row r="29" spans="2:13">
      <c r="B29" s="317" t="s">
        <v>72</v>
      </c>
      <c r="D29" s="318">
        <v>6179</v>
      </c>
      <c r="E29" s="319">
        <v>25.34</v>
      </c>
      <c r="F29" s="320">
        <v>0</v>
      </c>
      <c r="H29" s="333" t="s">
        <v>146</v>
      </c>
      <c r="J29" s="318"/>
      <c r="K29" s="319"/>
    </row>
    <row r="30" spans="2:13" ht="13.5">
      <c r="B30" s="317" t="s">
        <v>73</v>
      </c>
      <c r="D30" s="318">
        <v>6179</v>
      </c>
      <c r="E30" s="319">
        <v>33.770000000000003</v>
      </c>
      <c r="F30" s="320">
        <v>0</v>
      </c>
      <c r="H30" s="328">
        <v>4</v>
      </c>
      <c r="I30" s="329"/>
      <c r="J30" s="330"/>
      <c r="K30" s="331">
        <f>SUM(K31:K35)</f>
        <v>89.52</v>
      </c>
    </row>
    <row r="31" spans="2:13" ht="13.5">
      <c r="B31" s="317" t="s">
        <v>74</v>
      </c>
      <c r="D31" s="318">
        <v>6179</v>
      </c>
      <c r="E31" s="319">
        <v>58.66</v>
      </c>
      <c r="F31" s="320">
        <v>0</v>
      </c>
      <c r="H31" s="321" t="s">
        <v>87</v>
      </c>
      <c r="J31" s="318"/>
      <c r="K31" s="319"/>
    </row>
    <row r="32" spans="2:13">
      <c r="B32" s="334" t="s">
        <v>146</v>
      </c>
      <c r="C32" s="325"/>
      <c r="D32" s="326"/>
      <c r="E32" s="327"/>
      <c r="F32" s="336"/>
      <c r="H32" s="317" t="s">
        <v>148</v>
      </c>
      <c r="J32" s="318">
        <v>6013</v>
      </c>
      <c r="K32" s="319">
        <v>10.27</v>
      </c>
    </row>
    <row r="33" spans="2:11" ht="13.5">
      <c r="B33" s="312">
        <v>3</v>
      </c>
      <c r="C33" s="313"/>
      <c r="D33" s="314"/>
      <c r="E33" s="315">
        <f>SUM(E34:E42)</f>
        <v>169.17</v>
      </c>
      <c r="F33" s="316"/>
      <c r="H33" s="317" t="s">
        <v>149</v>
      </c>
      <c r="J33" s="318">
        <v>6013</v>
      </c>
      <c r="K33" s="319">
        <v>57.87</v>
      </c>
    </row>
    <row r="34" spans="2:11">
      <c r="B34" s="317" t="s">
        <v>147</v>
      </c>
      <c r="D34" s="318">
        <v>6088</v>
      </c>
      <c r="E34" s="319">
        <v>47.2</v>
      </c>
      <c r="F34" s="320">
        <v>0</v>
      </c>
      <c r="H34" s="317" t="s">
        <v>199</v>
      </c>
      <c r="J34" s="318">
        <v>6012</v>
      </c>
      <c r="K34" s="319">
        <v>21.38</v>
      </c>
    </row>
    <row r="35" spans="2:11">
      <c r="B35" s="317" t="s">
        <v>30</v>
      </c>
      <c r="D35" s="318">
        <v>6092</v>
      </c>
      <c r="E35" s="319">
        <v>54.76</v>
      </c>
      <c r="F35" s="320">
        <v>0</v>
      </c>
      <c r="H35" s="324" t="s">
        <v>146</v>
      </c>
      <c r="I35" s="325"/>
      <c r="J35" s="326"/>
      <c r="K35" s="327"/>
    </row>
    <row r="36" spans="2:11" ht="13.5">
      <c r="B36" s="317" t="s">
        <v>76</v>
      </c>
      <c r="D36" s="318">
        <v>6300</v>
      </c>
      <c r="E36" s="319">
        <v>19.75</v>
      </c>
      <c r="F36" s="320">
        <v>0</v>
      </c>
      <c r="H36" s="312">
        <v>5</v>
      </c>
      <c r="I36" s="313"/>
      <c r="J36" s="314"/>
      <c r="K36" s="315">
        <f>SUM(K37:K44)</f>
        <v>181.83999999999997</v>
      </c>
    </row>
    <row r="37" spans="2:11" ht="13.5">
      <c r="B37" s="317" t="s">
        <v>75</v>
      </c>
      <c r="D37" s="318">
        <v>6300</v>
      </c>
      <c r="E37" s="319">
        <v>15.5</v>
      </c>
      <c r="F37" s="320">
        <v>0</v>
      </c>
      <c r="H37" s="321" t="s">
        <v>151</v>
      </c>
      <c r="J37" s="318"/>
      <c r="K37" s="319"/>
    </row>
    <row r="38" spans="2:11">
      <c r="B38" s="317" t="s">
        <v>150</v>
      </c>
      <c r="D38" s="318">
        <v>6300</v>
      </c>
      <c r="E38" s="319">
        <v>8</v>
      </c>
      <c r="F38" s="320">
        <v>0</v>
      </c>
      <c r="H38" s="317" t="s">
        <v>153</v>
      </c>
      <c r="J38" s="318" t="s">
        <v>200</v>
      </c>
      <c r="K38" s="319">
        <v>179.89</v>
      </c>
    </row>
    <row r="39" spans="2:11" ht="13.5">
      <c r="B39" s="317" t="s">
        <v>152</v>
      </c>
      <c r="D39" s="318">
        <v>6300</v>
      </c>
      <c r="E39" s="319">
        <v>9.86</v>
      </c>
      <c r="F39" s="320">
        <v>0</v>
      </c>
      <c r="H39" s="321" t="s">
        <v>154</v>
      </c>
      <c r="J39" s="318"/>
      <c r="K39" s="319"/>
    </row>
    <row r="40" spans="2:11">
      <c r="B40" s="317" t="s">
        <v>201</v>
      </c>
      <c r="D40" s="318">
        <v>6300</v>
      </c>
      <c r="E40" s="319">
        <v>10</v>
      </c>
      <c r="F40" s="320">
        <v>0</v>
      </c>
      <c r="H40" s="317" t="s">
        <v>155</v>
      </c>
      <c r="J40" s="318">
        <v>6009</v>
      </c>
      <c r="K40" s="319">
        <v>1.1299999999999999</v>
      </c>
    </row>
    <row r="41" spans="2:11">
      <c r="B41" s="317" t="s">
        <v>202</v>
      </c>
      <c r="D41" s="318">
        <v>6300</v>
      </c>
      <c r="E41" s="319">
        <v>4.0999999999999996</v>
      </c>
      <c r="F41" s="320">
        <v>0</v>
      </c>
      <c r="H41" s="317" t="s">
        <v>156</v>
      </c>
      <c r="J41" s="318">
        <v>6009</v>
      </c>
      <c r="K41" s="319">
        <v>0.82</v>
      </c>
    </row>
    <row r="42" spans="2:11" ht="13.5">
      <c r="B42" s="323" t="s">
        <v>146</v>
      </c>
      <c r="D42" s="318"/>
      <c r="E42" s="319"/>
      <c r="F42" s="320"/>
      <c r="H42" s="321" t="s">
        <v>203</v>
      </c>
      <c r="J42" s="318"/>
      <c r="K42" s="319"/>
    </row>
    <row r="43" spans="2:11" ht="13.5">
      <c r="B43" s="328">
        <v>4</v>
      </c>
      <c r="C43" s="329"/>
      <c r="D43" s="330"/>
      <c r="E43" s="331">
        <f>SUM(E44:E72)</f>
        <v>435.47300000000001</v>
      </c>
      <c r="F43" s="332"/>
      <c r="H43" s="317" t="s">
        <v>204</v>
      </c>
      <c r="J43" s="318">
        <v>6008</v>
      </c>
      <c r="K43" s="319">
        <v>0</v>
      </c>
    </row>
    <row r="44" spans="2:11">
      <c r="B44" s="317" t="s">
        <v>78</v>
      </c>
      <c r="D44" s="318">
        <v>6381</v>
      </c>
      <c r="E44" s="319">
        <v>10</v>
      </c>
      <c r="F44" s="320">
        <v>0</v>
      </c>
      <c r="H44" s="333" t="s">
        <v>146</v>
      </c>
      <c r="J44" s="318"/>
      <c r="K44" s="319"/>
    </row>
    <row r="45" spans="2:11" ht="13.5">
      <c r="B45" s="317" t="s">
        <v>157</v>
      </c>
      <c r="D45" s="318">
        <v>6381</v>
      </c>
      <c r="E45" s="319">
        <v>3.5</v>
      </c>
      <c r="F45" s="320">
        <v>0</v>
      </c>
      <c r="H45" s="328">
        <v>6</v>
      </c>
      <c r="I45" s="329"/>
      <c r="J45" s="330"/>
      <c r="K45" s="331">
        <f>SUM(K46:K50)</f>
        <v>123.02000000000001</v>
      </c>
    </row>
    <row r="46" spans="2:11" ht="13.5">
      <c r="B46" s="317" t="s">
        <v>84</v>
      </c>
      <c r="D46" s="318">
        <v>6013</v>
      </c>
      <c r="E46" s="319">
        <v>6.12</v>
      </c>
      <c r="F46" s="320">
        <v>0</v>
      </c>
      <c r="H46" s="321" t="s">
        <v>151</v>
      </c>
      <c r="J46" s="318"/>
      <c r="K46" s="319"/>
    </row>
    <row r="47" spans="2:11">
      <c r="B47" s="317" t="s">
        <v>158</v>
      </c>
      <c r="D47" s="318">
        <v>6013</v>
      </c>
      <c r="E47" s="319">
        <v>4.95</v>
      </c>
      <c r="F47" s="320">
        <v>0</v>
      </c>
      <c r="H47" s="317" t="s">
        <v>159</v>
      </c>
      <c r="J47" s="318">
        <v>6005</v>
      </c>
      <c r="K47" s="319">
        <v>121.79</v>
      </c>
    </row>
    <row r="48" spans="2:11" ht="13.5">
      <c r="B48" s="317" t="s">
        <v>77</v>
      </c>
      <c r="D48" s="318">
        <v>6381</v>
      </c>
      <c r="E48" s="319">
        <v>20</v>
      </c>
      <c r="F48" s="320">
        <v>0</v>
      </c>
      <c r="H48" s="321" t="s">
        <v>154</v>
      </c>
      <c r="J48" s="318"/>
      <c r="K48" s="319"/>
    </row>
    <row r="49" spans="2:11">
      <c r="B49" s="317" t="s">
        <v>160</v>
      </c>
      <c r="D49" s="318">
        <v>6381</v>
      </c>
      <c r="E49" s="319">
        <v>12.89</v>
      </c>
      <c r="F49" s="320">
        <v>0</v>
      </c>
      <c r="H49" s="317" t="s">
        <v>155</v>
      </c>
      <c r="J49" s="318">
        <v>6005</v>
      </c>
      <c r="K49" s="319">
        <v>1.23</v>
      </c>
    </row>
    <row r="50" spans="2:11">
      <c r="B50" s="317" t="s">
        <v>161</v>
      </c>
      <c r="D50" s="318">
        <v>6386</v>
      </c>
      <c r="E50" s="319">
        <v>14</v>
      </c>
      <c r="F50" s="320">
        <v>0</v>
      </c>
      <c r="H50" s="324" t="s">
        <v>146</v>
      </c>
      <c r="I50" s="325"/>
      <c r="J50" s="326"/>
      <c r="K50" s="327"/>
    </row>
    <row r="51" spans="2:11" ht="13.5">
      <c r="B51" s="317" t="s">
        <v>0</v>
      </c>
      <c r="D51" s="337" t="s">
        <v>162</v>
      </c>
      <c r="E51" s="319">
        <v>2.5</v>
      </c>
      <c r="F51" s="320">
        <v>0</v>
      </c>
      <c r="H51" s="312">
        <v>7</v>
      </c>
      <c r="I51" s="313"/>
      <c r="J51" s="314"/>
      <c r="K51" s="315">
        <f>SUM(K52:K64)</f>
        <v>1067.1000000000006</v>
      </c>
    </row>
    <row r="52" spans="2:11" ht="13.5">
      <c r="B52" s="317" t="s">
        <v>1</v>
      </c>
      <c r="D52" s="337" t="s">
        <v>162</v>
      </c>
      <c r="E52" s="319">
        <v>3.12</v>
      </c>
      <c r="F52" s="320">
        <v>0</v>
      </c>
      <c r="H52" s="321" t="s">
        <v>164</v>
      </c>
      <c r="J52" s="318"/>
      <c r="K52" s="319"/>
    </row>
    <row r="53" spans="2:11">
      <c r="B53" s="317" t="s">
        <v>163</v>
      </c>
      <c r="D53" s="318">
        <v>6381</v>
      </c>
      <c r="E53" s="319">
        <v>10</v>
      </c>
      <c r="F53" s="320">
        <v>0</v>
      </c>
      <c r="H53" s="317" t="s">
        <v>166</v>
      </c>
      <c r="J53" s="318" t="s">
        <v>167</v>
      </c>
      <c r="K53" s="319">
        <v>536.92999999999995</v>
      </c>
    </row>
    <row r="54" spans="2:11" ht="13.5">
      <c r="B54" s="317" t="s">
        <v>165</v>
      </c>
      <c r="D54" s="318">
        <v>6381</v>
      </c>
      <c r="E54" s="319">
        <v>10</v>
      </c>
      <c r="F54" s="320">
        <v>0</v>
      </c>
      <c r="H54" s="321" t="s">
        <v>151</v>
      </c>
      <c r="J54" s="318"/>
      <c r="K54" s="319"/>
    </row>
    <row r="55" spans="2:11">
      <c r="B55" s="317" t="s">
        <v>168</v>
      </c>
      <c r="D55" s="318">
        <v>6013</v>
      </c>
      <c r="E55" s="319">
        <v>8.4</v>
      </c>
      <c r="F55" s="320">
        <v>0</v>
      </c>
      <c r="H55" s="317" t="s">
        <v>166</v>
      </c>
      <c r="J55" s="318" t="s">
        <v>205</v>
      </c>
      <c r="K55" s="319">
        <v>491.74</v>
      </c>
    </row>
    <row r="56" spans="2:11" ht="13.5">
      <c r="B56" s="317" t="s">
        <v>80</v>
      </c>
      <c r="D56" s="318">
        <v>6690</v>
      </c>
      <c r="E56" s="319">
        <v>33.299999999999997</v>
      </c>
      <c r="F56" s="320">
        <v>0</v>
      </c>
      <c r="H56" s="321" t="s">
        <v>154</v>
      </c>
      <c r="J56" s="318"/>
      <c r="K56" s="319"/>
    </row>
    <row r="57" spans="2:11">
      <c r="B57" s="317" t="s">
        <v>81</v>
      </c>
      <c r="D57" s="318">
        <v>6690</v>
      </c>
      <c r="E57" s="319">
        <v>49.95</v>
      </c>
      <c r="F57" s="320">
        <v>0</v>
      </c>
      <c r="H57" s="317" t="s">
        <v>169</v>
      </c>
      <c r="J57" s="318">
        <v>6002</v>
      </c>
      <c r="K57" s="319">
        <v>2.89</v>
      </c>
    </row>
    <row r="58" spans="2:11">
      <c r="B58" s="317" t="s">
        <v>82</v>
      </c>
      <c r="D58" s="318">
        <v>6690</v>
      </c>
      <c r="E58" s="319">
        <v>69.48</v>
      </c>
      <c r="F58" s="320">
        <v>0</v>
      </c>
      <c r="H58" s="317" t="s">
        <v>170</v>
      </c>
      <c r="J58" s="318">
        <v>6024</v>
      </c>
      <c r="K58" s="319">
        <v>24.65</v>
      </c>
    </row>
    <row r="59" spans="2:11">
      <c r="B59" s="317" t="s">
        <v>206</v>
      </c>
      <c r="D59" s="318">
        <v>6386</v>
      </c>
      <c r="E59" s="319">
        <v>4.0999999999999996</v>
      </c>
      <c r="F59" s="320">
        <v>0</v>
      </c>
      <c r="H59" s="317" t="s">
        <v>89</v>
      </c>
      <c r="J59" s="318">
        <v>6002</v>
      </c>
      <c r="K59" s="319">
        <v>0.64</v>
      </c>
    </row>
    <row r="60" spans="2:11">
      <c r="B60" s="317" t="s">
        <v>83</v>
      </c>
      <c r="D60" s="318">
        <v>6860</v>
      </c>
      <c r="E60" s="319">
        <v>28.56</v>
      </c>
      <c r="F60" s="320">
        <v>0</v>
      </c>
      <c r="H60" s="317" t="s">
        <v>173</v>
      </c>
      <c r="J60" s="318">
        <v>6002</v>
      </c>
      <c r="K60" s="319">
        <v>0.93</v>
      </c>
    </row>
    <row r="61" spans="2:11">
      <c r="B61" s="317" t="s">
        <v>207</v>
      </c>
      <c r="D61" s="318">
        <v>6013</v>
      </c>
      <c r="E61" s="319">
        <v>8.58</v>
      </c>
      <c r="F61" s="320">
        <v>0</v>
      </c>
      <c r="H61" s="317" t="s">
        <v>174</v>
      </c>
      <c r="J61" s="318">
        <v>6018</v>
      </c>
      <c r="K61" s="319">
        <v>1.22</v>
      </c>
    </row>
    <row r="62" spans="2:11">
      <c r="B62" s="317" t="s">
        <v>208</v>
      </c>
      <c r="D62" s="318">
        <v>6760</v>
      </c>
      <c r="E62" s="319">
        <v>26</v>
      </c>
      <c r="F62" s="320">
        <v>0</v>
      </c>
      <c r="H62" s="317" t="s">
        <v>155</v>
      </c>
      <c r="J62" s="318">
        <v>6002</v>
      </c>
      <c r="K62" s="319">
        <v>7.16</v>
      </c>
    </row>
    <row r="63" spans="2:11">
      <c r="B63" s="317" t="s">
        <v>209</v>
      </c>
      <c r="D63" s="318">
        <v>6760</v>
      </c>
      <c r="E63" s="319">
        <v>6</v>
      </c>
      <c r="F63" s="320">
        <v>0</v>
      </c>
      <c r="H63" s="317" t="s">
        <v>176</v>
      </c>
      <c r="J63" s="318">
        <v>6002</v>
      </c>
      <c r="K63" s="319">
        <v>0.94</v>
      </c>
    </row>
    <row r="64" spans="2:11">
      <c r="B64" s="317" t="s">
        <v>210</v>
      </c>
      <c r="D64" s="318">
        <v>6760</v>
      </c>
      <c r="E64" s="319">
        <v>12.3</v>
      </c>
      <c r="F64" s="320">
        <v>0</v>
      </c>
      <c r="H64" s="324" t="s">
        <v>146</v>
      </c>
      <c r="I64" s="325"/>
      <c r="J64" s="326"/>
      <c r="K64" s="327"/>
    </row>
    <row r="65" spans="2:11" ht="13.5">
      <c r="B65" s="317" t="s">
        <v>211</v>
      </c>
      <c r="D65" s="318">
        <v>6386</v>
      </c>
      <c r="E65" s="319">
        <v>4.6429999999999998</v>
      </c>
      <c r="F65" s="320">
        <v>0</v>
      </c>
      <c r="H65" s="328">
        <v>8</v>
      </c>
      <c r="I65" s="329"/>
      <c r="J65" s="330"/>
      <c r="K65" s="331">
        <f>SUM(K66:K68)</f>
        <v>1.67</v>
      </c>
    </row>
    <row r="66" spans="2:11" ht="13.5">
      <c r="B66" s="317" t="s">
        <v>217</v>
      </c>
      <c r="D66" s="318">
        <v>6386</v>
      </c>
      <c r="E66" s="319">
        <v>5</v>
      </c>
      <c r="F66" s="320">
        <v>6</v>
      </c>
      <c r="H66" s="321" t="s">
        <v>164</v>
      </c>
      <c r="J66" s="318"/>
      <c r="K66" s="319"/>
    </row>
    <row r="67" spans="2:11">
      <c r="B67" s="317" t="s">
        <v>218</v>
      </c>
      <c r="D67" s="318">
        <v>6760</v>
      </c>
      <c r="E67" s="319">
        <v>14.4</v>
      </c>
      <c r="F67" s="320">
        <v>7</v>
      </c>
      <c r="H67" s="317" t="s">
        <v>181</v>
      </c>
      <c r="J67" s="318">
        <v>6100</v>
      </c>
      <c r="K67" s="319">
        <v>1.67</v>
      </c>
    </row>
    <row r="68" spans="2:11">
      <c r="B68" s="317" t="s">
        <v>219</v>
      </c>
      <c r="D68" s="318">
        <v>6760</v>
      </c>
      <c r="E68" s="319">
        <v>15.08</v>
      </c>
      <c r="F68" s="320">
        <v>7</v>
      </c>
      <c r="H68" s="324" t="s">
        <v>146</v>
      </c>
      <c r="I68" s="325"/>
      <c r="J68" s="326"/>
      <c r="K68" s="327"/>
    </row>
    <row r="69" spans="2:11" ht="13.5">
      <c r="B69" s="317" t="s">
        <v>220</v>
      </c>
      <c r="D69" s="318">
        <v>6760</v>
      </c>
      <c r="E69" s="319">
        <v>9.3000000000000007</v>
      </c>
      <c r="F69" s="320">
        <v>7</v>
      </c>
      <c r="H69" s="312">
        <v>9</v>
      </c>
      <c r="I69" s="313"/>
      <c r="J69" s="314"/>
      <c r="K69" s="315">
        <f>SUM(K70:K75)</f>
        <v>178.71699999999998</v>
      </c>
    </row>
    <row r="70" spans="2:11" ht="13.5">
      <c r="B70" s="317" t="s">
        <v>221</v>
      </c>
      <c r="D70" s="318">
        <v>6386</v>
      </c>
      <c r="E70" s="319">
        <v>8.8000000000000007</v>
      </c>
      <c r="F70" s="320">
        <v>7</v>
      </c>
      <c r="H70" s="321" t="s">
        <v>164</v>
      </c>
      <c r="J70" s="318"/>
      <c r="K70" s="319"/>
    </row>
    <row r="71" spans="2:11">
      <c r="B71" s="317" t="s">
        <v>222</v>
      </c>
      <c r="D71" s="318">
        <v>6182</v>
      </c>
      <c r="E71" s="319">
        <v>34.5</v>
      </c>
      <c r="F71" s="320">
        <v>7</v>
      </c>
      <c r="H71" s="317" t="s">
        <v>26</v>
      </c>
      <c r="J71" s="318">
        <v>6059</v>
      </c>
      <c r="K71" s="319">
        <v>169.23</v>
      </c>
    </row>
    <row r="72" spans="2:11" ht="13.5">
      <c r="B72" s="334" t="s">
        <v>146</v>
      </c>
      <c r="C72" s="325"/>
      <c r="D72" s="326"/>
      <c r="E72" s="327"/>
      <c r="F72" s="336"/>
      <c r="H72" s="321" t="s">
        <v>154</v>
      </c>
      <c r="J72" s="318"/>
      <c r="K72" s="319"/>
    </row>
    <row r="73" spans="2:11" ht="13.5">
      <c r="B73" s="312">
        <v>5</v>
      </c>
      <c r="C73" s="313"/>
      <c r="D73" s="314"/>
      <c r="E73" s="315">
        <f>SUM(E74:E87)</f>
        <v>397.30999999999995</v>
      </c>
      <c r="F73" s="316"/>
      <c r="H73" s="317" t="s">
        <v>184</v>
      </c>
      <c r="J73" s="318">
        <v>6170</v>
      </c>
      <c r="K73" s="319">
        <v>8.5</v>
      </c>
    </row>
    <row r="74" spans="2:11">
      <c r="B74" s="317" t="s">
        <v>171</v>
      </c>
      <c r="D74" s="318">
        <v>6010</v>
      </c>
      <c r="E74" s="319">
        <v>5.35</v>
      </c>
      <c r="F74" s="320">
        <v>0</v>
      </c>
      <c r="H74" s="317" t="s">
        <v>155</v>
      </c>
      <c r="J74" s="318">
        <v>6059</v>
      </c>
      <c r="K74" s="319">
        <v>0.98699999999999999</v>
      </c>
    </row>
    <row r="75" spans="2:11">
      <c r="B75" s="317" t="s">
        <v>172</v>
      </c>
      <c r="D75" s="318">
        <v>6010</v>
      </c>
      <c r="E75" s="319">
        <v>5.05</v>
      </c>
      <c r="F75" s="320">
        <v>0</v>
      </c>
      <c r="H75" s="324" t="s">
        <v>146</v>
      </c>
      <c r="I75" s="325"/>
      <c r="J75" s="326"/>
      <c r="K75" s="327"/>
    </row>
    <row r="76" spans="2:11" ht="13.5">
      <c r="B76" s="317" t="s">
        <v>5</v>
      </c>
      <c r="D76" s="337" t="s">
        <v>162</v>
      </c>
      <c r="E76" s="319">
        <v>6.6</v>
      </c>
      <c r="F76" s="320">
        <v>0</v>
      </c>
      <c r="H76" s="328">
        <v>10</v>
      </c>
      <c r="I76" s="329"/>
      <c r="J76" s="330"/>
      <c r="K76" s="331">
        <f>SUM(K77:K80)</f>
        <v>42.74</v>
      </c>
    </row>
    <row r="77" spans="2:11" ht="13.5">
      <c r="B77" s="317" t="s">
        <v>31</v>
      </c>
      <c r="D77" s="337" t="s">
        <v>162</v>
      </c>
      <c r="E77" s="319">
        <v>4.5</v>
      </c>
      <c r="F77" s="320">
        <v>0</v>
      </c>
      <c r="H77" s="321" t="s">
        <v>186</v>
      </c>
      <c r="J77" s="318"/>
      <c r="K77" s="319"/>
    </row>
    <row r="78" spans="2:11">
      <c r="B78" s="317" t="s">
        <v>175</v>
      </c>
      <c r="D78" s="337" t="s">
        <v>162</v>
      </c>
      <c r="E78" s="319">
        <v>2.4</v>
      </c>
      <c r="F78" s="320">
        <v>0</v>
      </c>
      <c r="H78" s="317" t="s">
        <v>189</v>
      </c>
      <c r="J78" s="318">
        <v>6340</v>
      </c>
      <c r="K78" s="319">
        <v>29.18</v>
      </c>
    </row>
    <row r="79" spans="2:11">
      <c r="B79" s="317" t="s">
        <v>177</v>
      </c>
      <c r="D79" s="318">
        <v>6430</v>
      </c>
      <c r="E79" s="319">
        <v>100</v>
      </c>
      <c r="F79" s="320">
        <v>0</v>
      </c>
      <c r="H79" s="317" t="s">
        <v>191</v>
      </c>
      <c r="J79" s="318">
        <v>6261</v>
      </c>
      <c r="K79" s="319">
        <v>13.56</v>
      </c>
    </row>
    <row r="80" spans="2:11">
      <c r="B80" s="317" t="s">
        <v>178</v>
      </c>
      <c r="D80" s="318">
        <v>6430</v>
      </c>
      <c r="E80" s="319">
        <v>17.5</v>
      </c>
      <c r="F80" s="320">
        <v>0</v>
      </c>
      <c r="H80" s="324" t="s">
        <v>146</v>
      </c>
      <c r="I80" s="325"/>
      <c r="J80" s="326"/>
      <c r="K80" s="327"/>
    </row>
    <row r="81" spans="2:6">
      <c r="B81" s="317" t="s">
        <v>179</v>
      </c>
      <c r="D81" s="318">
        <v>6430</v>
      </c>
      <c r="E81" s="319">
        <v>62.5</v>
      </c>
      <c r="F81" s="320">
        <v>0</v>
      </c>
    </row>
    <row r="82" spans="2:6">
      <c r="B82" s="317" t="s">
        <v>180</v>
      </c>
      <c r="D82" s="318">
        <v>6430</v>
      </c>
      <c r="E82" s="319">
        <v>40</v>
      </c>
      <c r="F82" s="320">
        <v>0</v>
      </c>
    </row>
    <row r="83" spans="2:6">
      <c r="B83" s="317" t="s">
        <v>212</v>
      </c>
      <c r="D83" s="318">
        <v>6008</v>
      </c>
      <c r="E83" s="319">
        <v>25.8</v>
      </c>
      <c r="F83" s="320">
        <v>0</v>
      </c>
    </row>
    <row r="84" spans="2:6">
      <c r="B84" s="317" t="s">
        <v>213</v>
      </c>
      <c r="D84" s="318">
        <v>6010</v>
      </c>
      <c r="E84" s="319">
        <v>9</v>
      </c>
      <c r="F84" s="320">
        <v>0</v>
      </c>
    </row>
    <row r="85" spans="2:6">
      <c r="B85" s="317" t="s">
        <v>223</v>
      </c>
      <c r="D85" s="318">
        <v>6010</v>
      </c>
      <c r="E85" s="319">
        <v>2.02</v>
      </c>
      <c r="F85" s="320">
        <v>7</v>
      </c>
    </row>
    <row r="86" spans="2:6">
      <c r="B86" s="317" t="s">
        <v>224</v>
      </c>
      <c r="D86" s="318">
        <v>6008</v>
      </c>
      <c r="E86" s="319">
        <v>116.59</v>
      </c>
      <c r="F86" s="320">
        <v>7</v>
      </c>
    </row>
    <row r="87" spans="2:6">
      <c r="B87" s="317" t="s">
        <v>146</v>
      </c>
      <c r="D87" s="318"/>
      <c r="E87" s="319"/>
      <c r="F87" s="320"/>
    </row>
    <row r="88" spans="2:6" ht="13.5">
      <c r="B88" s="328">
        <v>6</v>
      </c>
      <c r="C88" s="329"/>
      <c r="D88" s="330"/>
      <c r="E88" s="331">
        <f>SUM(E89:E92)</f>
        <v>105.8</v>
      </c>
      <c r="F88" s="332"/>
    </row>
    <row r="89" spans="2:6">
      <c r="B89" s="317" t="s">
        <v>182</v>
      </c>
      <c r="D89" s="318">
        <v>6005</v>
      </c>
      <c r="E89" s="319">
        <v>96</v>
      </c>
      <c r="F89" s="320">
        <v>0</v>
      </c>
    </row>
    <row r="90" spans="2:6">
      <c r="B90" s="317" t="s">
        <v>32</v>
      </c>
      <c r="D90" s="337" t="s">
        <v>162</v>
      </c>
      <c r="E90" s="319">
        <v>5.5</v>
      </c>
      <c r="F90" s="320">
        <v>0</v>
      </c>
    </row>
    <row r="91" spans="2:6">
      <c r="B91" s="317" t="s">
        <v>85</v>
      </c>
      <c r="D91" s="337" t="s">
        <v>162</v>
      </c>
      <c r="E91" s="319">
        <v>4.3</v>
      </c>
      <c r="F91" s="320">
        <v>0</v>
      </c>
    </row>
    <row r="92" spans="2:6">
      <c r="B92" s="338" t="s">
        <v>146</v>
      </c>
      <c r="C92" s="325"/>
      <c r="D92" s="326"/>
      <c r="E92" s="327"/>
      <c r="F92" s="336"/>
    </row>
    <row r="93" spans="2:6" ht="13.5">
      <c r="B93" s="312">
        <v>7</v>
      </c>
      <c r="C93" s="313"/>
      <c r="D93" s="314"/>
      <c r="E93" s="315">
        <f>SUM(E94:E97)</f>
        <v>188.76</v>
      </c>
      <c r="F93" s="316"/>
    </row>
    <row r="94" spans="2:6">
      <c r="B94" s="317" t="s">
        <v>33</v>
      </c>
      <c r="D94" s="318">
        <v>6171</v>
      </c>
      <c r="E94" s="319">
        <v>54</v>
      </c>
      <c r="F94" s="320">
        <v>0</v>
      </c>
    </row>
    <row r="95" spans="2:6">
      <c r="B95" s="317" t="s">
        <v>187</v>
      </c>
      <c r="D95" s="318" t="s">
        <v>214</v>
      </c>
      <c r="E95" s="319">
        <v>56</v>
      </c>
      <c r="F95" s="320">
        <v>0</v>
      </c>
    </row>
    <row r="96" spans="2:6">
      <c r="B96" s="317" t="s">
        <v>190</v>
      </c>
      <c r="D96" s="318" t="s">
        <v>214</v>
      </c>
      <c r="E96" s="319">
        <v>78.760000000000005</v>
      </c>
      <c r="F96" s="320">
        <v>0</v>
      </c>
    </row>
    <row r="97" spans="2:6">
      <c r="B97" s="339" t="s">
        <v>146</v>
      </c>
      <c r="C97" s="340"/>
      <c r="D97" s="341"/>
      <c r="E97" s="342"/>
      <c r="F97" s="343"/>
    </row>
    <row r="98" spans="2:6" ht="13.5">
      <c r="B98" s="328">
        <v>8</v>
      </c>
      <c r="C98" s="329"/>
      <c r="D98" s="330"/>
      <c r="E98" s="331">
        <f>SUM(E99:E100)</f>
        <v>260</v>
      </c>
      <c r="F98" s="332"/>
    </row>
    <row r="99" spans="2:6">
      <c r="B99" s="317" t="s">
        <v>4</v>
      </c>
      <c r="D99" s="318">
        <v>6100</v>
      </c>
      <c r="E99" s="319">
        <v>260</v>
      </c>
      <c r="F99" s="320">
        <v>0</v>
      </c>
    </row>
    <row r="100" spans="2:6">
      <c r="B100" s="344" t="s">
        <v>146</v>
      </c>
      <c r="C100" s="325"/>
      <c r="D100" s="326"/>
      <c r="E100" s="327"/>
      <c r="F100" s="336"/>
    </row>
    <row r="101" spans="2:6" ht="13.5">
      <c r="B101" s="312">
        <v>9</v>
      </c>
      <c r="C101" s="345"/>
      <c r="D101" s="346"/>
      <c r="E101" s="315">
        <f>SUM(E102:E108)</f>
        <v>577.4</v>
      </c>
      <c r="F101" s="316"/>
    </row>
    <row r="102" spans="2:6">
      <c r="B102" s="317" t="s">
        <v>192</v>
      </c>
      <c r="D102" s="318">
        <v>6059</v>
      </c>
      <c r="E102" s="319">
        <v>160</v>
      </c>
      <c r="F102" s="320">
        <v>0</v>
      </c>
    </row>
    <row r="103" spans="2:6">
      <c r="B103" s="317" t="s">
        <v>193</v>
      </c>
      <c r="D103" s="318">
        <v>6060</v>
      </c>
      <c r="E103" s="319">
        <v>120</v>
      </c>
      <c r="F103" s="320">
        <v>0</v>
      </c>
    </row>
    <row r="104" spans="2:6">
      <c r="B104" s="317" t="s">
        <v>194</v>
      </c>
      <c r="D104" s="318">
        <v>6270</v>
      </c>
      <c r="E104" s="319">
        <v>87</v>
      </c>
      <c r="F104" s="320">
        <v>0</v>
      </c>
    </row>
    <row r="105" spans="2:6">
      <c r="B105" s="317" t="s">
        <v>195</v>
      </c>
      <c r="D105" s="318">
        <v>6290</v>
      </c>
      <c r="E105" s="319">
        <v>150</v>
      </c>
      <c r="F105" s="320">
        <v>0</v>
      </c>
    </row>
    <row r="106" spans="2:6">
      <c r="B106" s="317" t="s">
        <v>86</v>
      </c>
      <c r="D106" s="318">
        <v>6170</v>
      </c>
      <c r="E106" s="319">
        <v>50.4</v>
      </c>
      <c r="F106" s="320">
        <v>0</v>
      </c>
    </row>
    <row r="107" spans="2:6">
      <c r="B107" s="317" t="s">
        <v>225</v>
      </c>
      <c r="D107" s="318">
        <v>6074</v>
      </c>
      <c r="E107" s="319">
        <v>10</v>
      </c>
      <c r="F107" s="320">
        <v>7</v>
      </c>
    </row>
    <row r="108" spans="2:6">
      <c r="B108" s="339" t="s">
        <v>146</v>
      </c>
      <c r="D108" s="318"/>
      <c r="E108" s="319"/>
      <c r="F108" s="320"/>
    </row>
    <row r="109" spans="2:6" ht="13.5">
      <c r="B109" s="328">
        <v>10</v>
      </c>
      <c r="C109" s="347"/>
      <c r="D109" s="348"/>
      <c r="E109" s="331">
        <f>SUM(E110:E112)</f>
        <v>254.02999999999997</v>
      </c>
      <c r="F109" s="332"/>
    </row>
    <row r="110" spans="2:6">
      <c r="B110" s="317" t="s">
        <v>191</v>
      </c>
      <c r="D110" s="318">
        <v>6263</v>
      </c>
      <c r="E110" s="319">
        <v>222.17</v>
      </c>
      <c r="F110" s="320">
        <v>0</v>
      </c>
    </row>
    <row r="111" spans="2:6">
      <c r="B111" s="317" t="s">
        <v>14</v>
      </c>
      <c r="D111" s="318">
        <v>6261</v>
      </c>
      <c r="E111" s="319">
        <v>31.86</v>
      </c>
      <c r="F111" s="320">
        <v>0</v>
      </c>
    </row>
    <row r="112" spans="2:6">
      <c r="B112" s="338" t="s">
        <v>146</v>
      </c>
      <c r="C112" s="325"/>
      <c r="D112" s="326"/>
      <c r="E112" s="327"/>
      <c r="F112" s="336"/>
    </row>
    <row r="113" spans="11:11">
      <c r="K113" s="349"/>
    </row>
    <row r="114" spans="11:11">
      <c r="K114" s="349"/>
    </row>
    <row r="115" spans="11:11">
      <c r="K115" s="349"/>
    </row>
    <row r="116" spans="11:11">
      <c r="K116" s="349"/>
    </row>
    <row r="117" spans="11:11">
      <c r="K117" s="349"/>
    </row>
    <row r="118" spans="11:11">
      <c r="K118" s="349"/>
    </row>
    <row r="119" spans="11:11">
      <c r="K119" s="349"/>
    </row>
    <row r="120" spans="11:11">
      <c r="K120" s="349"/>
    </row>
    <row r="121" spans="11:11">
      <c r="K121" s="349"/>
    </row>
    <row r="122" spans="11:11">
      <c r="K122" s="349"/>
    </row>
    <row r="123" spans="11:11">
      <c r="K123" s="349"/>
    </row>
    <row r="124" spans="11:11">
      <c r="K124" s="349"/>
    </row>
    <row r="125" spans="11:11">
      <c r="K125" s="349"/>
    </row>
    <row r="126" spans="11:11">
      <c r="K126" s="349"/>
    </row>
    <row r="127" spans="11:11">
      <c r="K127" s="349"/>
    </row>
    <row r="128" spans="11:11">
      <c r="K128" s="349"/>
    </row>
    <row r="129" spans="11:11">
      <c r="K129" s="349"/>
    </row>
    <row r="130" spans="11:11">
      <c r="K130" s="349"/>
    </row>
    <row r="131" spans="11:11">
      <c r="K131" s="349"/>
    </row>
    <row r="132" spans="11:11">
      <c r="K132" s="349"/>
    </row>
    <row r="133" spans="11:11">
      <c r="K133" s="349"/>
    </row>
    <row r="134" spans="11:11">
      <c r="K134" s="349"/>
    </row>
    <row r="135" spans="11:11">
      <c r="K135" s="349"/>
    </row>
    <row r="136" spans="11:11">
      <c r="K136" s="349"/>
    </row>
    <row r="137" spans="11:11">
      <c r="K137" s="349"/>
    </row>
    <row r="138" spans="11:11">
      <c r="K138" s="349"/>
    </row>
    <row r="139" spans="11:11">
      <c r="K139" s="349"/>
    </row>
    <row r="140" spans="11:11">
      <c r="K140" s="349"/>
    </row>
    <row r="141" spans="11:11">
      <c r="K141" s="349"/>
    </row>
    <row r="142" spans="11:11">
      <c r="K142" s="349"/>
    </row>
    <row r="143" spans="11:11">
      <c r="K143" s="349"/>
    </row>
    <row r="144" spans="11:11">
      <c r="K144" s="349"/>
    </row>
    <row r="145" spans="11:11">
      <c r="K145" s="349"/>
    </row>
    <row r="146" spans="11:11">
      <c r="K146" s="349"/>
    </row>
    <row r="147" spans="11:11">
      <c r="K147" s="349"/>
    </row>
    <row r="148" spans="11:11">
      <c r="K148" s="349"/>
    </row>
    <row r="149" spans="11:11">
      <c r="K149" s="349"/>
    </row>
    <row r="150" spans="11:11">
      <c r="K150" s="349"/>
    </row>
    <row r="151" spans="11:11">
      <c r="K151" s="349"/>
    </row>
    <row r="152" spans="11:11">
      <c r="K152" s="349"/>
    </row>
    <row r="153" spans="11:11">
      <c r="K153" s="349"/>
    </row>
    <row r="154" spans="11:11">
      <c r="K154" s="349"/>
    </row>
    <row r="155" spans="11:11">
      <c r="K155" s="349"/>
    </row>
    <row r="156" spans="11:11">
      <c r="K156" s="349"/>
    </row>
    <row r="157" spans="11:11">
      <c r="K157" s="349"/>
    </row>
    <row r="158" spans="11:11">
      <c r="K158" s="349"/>
    </row>
    <row r="159" spans="11:11">
      <c r="K159" s="349"/>
    </row>
    <row r="160" spans="11:11">
      <c r="K160" s="349"/>
    </row>
    <row r="161" spans="11:11">
      <c r="K161" s="349"/>
    </row>
    <row r="162" spans="11:11">
      <c r="K162" s="349"/>
    </row>
    <row r="163" spans="11:11">
      <c r="K163" s="349"/>
    </row>
    <row r="164" spans="11:11">
      <c r="K164" s="349"/>
    </row>
    <row r="165" spans="11:11">
      <c r="K165" s="349"/>
    </row>
    <row r="166" spans="11:11">
      <c r="K166" s="349"/>
    </row>
    <row r="167" spans="11:11">
      <c r="K167" s="349"/>
    </row>
    <row r="168" spans="11:11">
      <c r="K168" s="349"/>
    </row>
    <row r="169" spans="11:11">
      <c r="K169" s="349"/>
    </row>
    <row r="170" spans="11:11">
      <c r="K170" s="349"/>
    </row>
    <row r="171" spans="11:11">
      <c r="K171" s="349"/>
    </row>
    <row r="172" spans="11:11">
      <c r="K172" s="349"/>
    </row>
    <row r="173" spans="11:11">
      <c r="K173" s="349"/>
    </row>
    <row r="174" spans="11:11">
      <c r="K174" s="349"/>
    </row>
    <row r="175" spans="11:11">
      <c r="K175" s="349"/>
    </row>
    <row r="176" spans="11:11">
      <c r="K176" s="349"/>
    </row>
    <row r="177" spans="11:11">
      <c r="K177" s="349"/>
    </row>
    <row r="178" spans="11:11">
      <c r="K178" s="349"/>
    </row>
    <row r="179" spans="11:11">
      <c r="K179" s="349"/>
    </row>
    <row r="180" spans="11:11">
      <c r="K180" s="349"/>
    </row>
    <row r="181" spans="11:11">
      <c r="K181" s="349"/>
    </row>
    <row r="182" spans="11:11">
      <c r="K182" s="349"/>
    </row>
    <row r="183" spans="11:11">
      <c r="K183" s="349"/>
    </row>
    <row r="184" spans="11:11">
      <c r="K184" s="349"/>
    </row>
    <row r="185" spans="11:11">
      <c r="K185" s="349"/>
    </row>
    <row r="186" spans="11:11">
      <c r="K186" s="349"/>
    </row>
    <row r="187" spans="11:11">
      <c r="K187" s="349"/>
    </row>
    <row r="188" spans="11:11">
      <c r="K188" s="349"/>
    </row>
    <row r="189" spans="11:11">
      <c r="K189" s="349"/>
    </row>
    <row r="190" spans="11:11">
      <c r="K190" s="349"/>
    </row>
    <row r="191" spans="11:11">
      <c r="K191" s="349"/>
    </row>
    <row r="192" spans="11:11">
      <c r="K192" s="349"/>
    </row>
    <row r="193" spans="5:11">
      <c r="K193" s="349"/>
    </row>
    <row r="194" spans="5:11">
      <c r="K194" s="349"/>
    </row>
    <row r="195" spans="5:11">
      <c r="K195" s="349"/>
    </row>
    <row r="196" spans="5:11">
      <c r="K196" s="349"/>
    </row>
    <row r="198" spans="5:11">
      <c r="E198" s="349"/>
    </row>
    <row r="199" spans="5:11">
      <c r="E199" s="349"/>
    </row>
    <row r="200" spans="5:11">
      <c r="E200" s="349"/>
    </row>
    <row r="201" spans="5:11">
      <c r="E201" s="349"/>
    </row>
    <row r="202" spans="5:11">
      <c r="E202" s="349"/>
    </row>
    <row r="203" spans="5:11">
      <c r="E203" s="349"/>
    </row>
    <row r="204" spans="5:11">
      <c r="E204" s="349"/>
    </row>
    <row r="205" spans="5:11">
      <c r="E205" s="349"/>
    </row>
    <row r="206" spans="5:11">
      <c r="E206" s="349"/>
    </row>
    <row r="207" spans="5:11">
      <c r="E207" s="349"/>
    </row>
    <row r="208" spans="5:11">
      <c r="E208" s="349"/>
    </row>
    <row r="209" spans="5:11">
      <c r="E209" s="349"/>
    </row>
    <row r="210" spans="5:11">
      <c r="E210" s="349"/>
    </row>
    <row r="211" spans="5:11">
      <c r="E211" s="349"/>
    </row>
    <row r="212" spans="5:11">
      <c r="E212" s="349"/>
    </row>
    <row r="213" spans="5:11">
      <c r="E213" s="349"/>
    </row>
    <row r="214" spans="5:11">
      <c r="E214" s="349"/>
    </row>
    <row r="215" spans="5:11">
      <c r="E215" s="349"/>
    </row>
    <row r="216" spans="5:11">
      <c r="E216" s="349"/>
      <c r="K216" s="349"/>
    </row>
    <row r="217" spans="5:11">
      <c r="E217" s="349"/>
      <c r="K217" s="349"/>
    </row>
    <row r="218" spans="5:11">
      <c r="E218" s="349"/>
      <c r="K218" s="349"/>
    </row>
    <row r="219" spans="5:11">
      <c r="E219" s="349"/>
      <c r="K219" s="349"/>
    </row>
    <row r="220" spans="5:11">
      <c r="E220" s="349"/>
      <c r="K220" s="349"/>
    </row>
    <row r="221" spans="5:11">
      <c r="E221" s="349"/>
      <c r="K221" s="349"/>
    </row>
    <row r="222" spans="5:11">
      <c r="E222" s="349"/>
      <c r="K222" s="349"/>
    </row>
    <row r="223" spans="5:11">
      <c r="E223" s="349"/>
      <c r="K223" s="349"/>
    </row>
    <row r="224" spans="5:11">
      <c r="E224" s="349"/>
      <c r="K224" s="349"/>
    </row>
    <row r="225" spans="5:11">
      <c r="E225" s="349"/>
      <c r="K225" s="349"/>
    </row>
    <row r="226" spans="5:11">
      <c r="E226" s="349"/>
      <c r="K226" s="349"/>
    </row>
    <row r="227" spans="5:11">
      <c r="E227" s="349"/>
      <c r="K227" s="349"/>
    </row>
    <row r="228" spans="5:11">
      <c r="E228" s="349"/>
      <c r="K228" s="349"/>
    </row>
    <row r="229" spans="5:11">
      <c r="E229" s="349"/>
      <c r="K229" s="349"/>
    </row>
    <row r="230" spans="5:11">
      <c r="E230" s="349"/>
      <c r="K230" s="349"/>
    </row>
    <row r="231" spans="5:11">
      <c r="E231" s="349"/>
      <c r="K231" s="349"/>
    </row>
    <row r="232" spans="5:11">
      <c r="E232" s="349"/>
      <c r="K232" s="349"/>
    </row>
    <row r="233" spans="5:11">
      <c r="E233" s="349"/>
      <c r="K233" s="349"/>
    </row>
    <row r="234" spans="5:11">
      <c r="E234" s="349"/>
      <c r="K234" s="349"/>
    </row>
    <row r="235" spans="5:11">
      <c r="E235" s="349"/>
      <c r="K235" s="349"/>
    </row>
    <row r="236" spans="5:11">
      <c r="E236" s="349"/>
      <c r="K236" s="349"/>
    </row>
    <row r="237" spans="5:11">
      <c r="E237" s="349"/>
      <c r="K237" s="349"/>
    </row>
    <row r="238" spans="5:11">
      <c r="E238" s="349"/>
      <c r="K238" s="349"/>
    </row>
    <row r="239" spans="5:11">
      <c r="E239" s="349"/>
      <c r="K239" s="349"/>
    </row>
    <row r="240" spans="5:11">
      <c r="E240" s="349"/>
      <c r="K240" s="349"/>
    </row>
    <row r="241" spans="5:11">
      <c r="E241" s="349"/>
      <c r="K241" s="349"/>
    </row>
    <row r="242" spans="5:11">
      <c r="E242" s="349"/>
      <c r="K242" s="349"/>
    </row>
    <row r="243" spans="5:11">
      <c r="E243" s="349"/>
      <c r="K243" s="349"/>
    </row>
    <row r="244" spans="5:11">
      <c r="E244" s="349"/>
      <c r="K244" s="349"/>
    </row>
    <row r="245" spans="5:11">
      <c r="E245" s="349"/>
      <c r="K245" s="349"/>
    </row>
    <row r="246" spans="5:11">
      <c r="E246" s="349"/>
      <c r="K246" s="349"/>
    </row>
    <row r="247" spans="5:11">
      <c r="E247" s="349"/>
      <c r="K247" s="349"/>
    </row>
    <row r="248" spans="5:11">
      <c r="E248" s="349"/>
      <c r="K248" s="349"/>
    </row>
    <row r="249" spans="5:11">
      <c r="E249" s="349"/>
      <c r="K249" s="349"/>
    </row>
    <row r="250" spans="5:11">
      <c r="E250" s="349"/>
      <c r="K250" s="349"/>
    </row>
    <row r="251" spans="5:11">
      <c r="E251" s="349"/>
      <c r="K251" s="349"/>
    </row>
    <row r="252" spans="5:11">
      <c r="E252" s="349"/>
      <c r="K252" s="349"/>
    </row>
    <row r="253" spans="5:11">
      <c r="E253" s="349"/>
      <c r="K253" s="349"/>
    </row>
    <row r="254" spans="5:11">
      <c r="E254" s="349"/>
      <c r="K254" s="349"/>
    </row>
    <row r="255" spans="5:11">
      <c r="E255" s="349"/>
      <c r="K255" s="349"/>
    </row>
    <row r="256" spans="5:11">
      <c r="E256" s="349"/>
      <c r="K256" s="349"/>
    </row>
    <row r="257" spans="5:11">
      <c r="E257" s="349"/>
      <c r="K257" s="349"/>
    </row>
    <row r="258" spans="5:11">
      <c r="E258" s="349"/>
      <c r="K258" s="349"/>
    </row>
    <row r="259" spans="5:11">
      <c r="E259" s="349"/>
      <c r="K259" s="349"/>
    </row>
    <row r="260" spans="5:11">
      <c r="E260" s="349"/>
      <c r="K260" s="349"/>
    </row>
    <row r="261" spans="5:11">
      <c r="E261" s="349"/>
      <c r="K261" s="349"/>
    </row>
    <row r="262" spans="5:11">
      <c r="E262" s="349"/>
      <c r="K262" s="349"/>
    </row>
    <row r="263" spans="5:11">
      <c r="E263" s="349"/>
      <c r="K263" s="349"/>
    </row>
    <row r="264" spans="5:11">
      <c r="E264" s="349"/>
      <c r="K264" s="349"/>
    </row>
    <row r="265" spans="5:11">
      <c r="E265" s="349"/>
      <c r="K265" s="349"/>
    </row>
    <row r="266" spans="5:11">
      <c r="E266" s="349"/>
      <c r="K266" s="349"/>
    </row>
    <row r="267" spans="5:11">
      <c r="E267" s="349"/>
      <c r="K267" s="349"/>
    </row>
    <row r="268" spans="5:11">
      <c r="E268" s="349"/>
      <c r="K268" s="349"/>
    </row>
    <row r="269" spans="5:11">
      <c r="E269" s="349"/>
      <c r="K269" s="349"/>
    </row>
    <row r="270" spans="5:11">
      <c r="E270" s="349"/>
      <c r="K270" s="349"/>
    </row>
    <row r="271" spans="5:11">
      <c r="E271" s="349"/>
      <c r="K271" s="349"/>
    </row>
    <row r="272" spans="5:11">
      <c r="E272" s="349"/>
      <c r="K272" s="349"/>
    </row>
    <row r="273" spans="5:11">
      <c r="E273" s="349"/>
      <c r="K273" s="349"/>
    </row>
    <row r="274" spans="5:11">
      <c r="E274" s="349"/>
      <c r="K274" s="349"/>
    </row>
    <row r="275" spans="5:11">
      <c r="E275" s="349"/>
      <c r="K275" s="349"/>
    </row>
    <row r="276" spans="5:11">
      <c r="E276" s="349"/>
      <c r="K276" s="349"/>
    </row>
    <row r="277" spans="5:11">
      <c r="E277" s="349"/>
      <c r="K277" s="349"/>
    </row>
    <row r="278" spans="5:11">
      <c r="E278" s="349"/>
      <c r="K278" s="349"/>
    </row>
    <row r="279" spans="5:11">
      <c r="E279" s="349"/>
      <c r="K279" s="349"/>
    </row>
    <row r="280" spans="5:11">
      <c r="E280" s="349"/>
      <c r="K280" s="349"/>
    </row>
    <row r="281" spans="5:11">
      <c r="E281" s="349"/>
      <c r="K281" s="349"/>
    </row>
    <row r="282" spans="5:11">
      <c r="E282" s="349"/>
      <c r="K282" s="349"/>
    </row>
    <row r="283" spans="5:11">
      <c r="E283" s="349"/>
      <c r="K283" s="349"/>
    </row>
    <row r="284" spans="5:11">
      <c r="E284" s="349"/>
      <c r="K284" s="349"/>
    </row>
    <row r="285" spans="5:11">
      <c r="E285" s="349"/>
      <c r="K285" s="349"/>
    </row>
    <row r="286" spans="5:11">
      <c r="E286" s="349"/>
      <c r="K286" s="349"/>
    </row>
    <row r="287" spans="5:11">
      <c r="E287" s="349"/>
      <c r="K287" s="349"/>
    </row>
    <row r="288" spans="5:11">
      <c r="E288" s="349"/>
      <c r="K288" s="349"/>
    </row>
    <row r="289" spans="5:11">
      <c r="E289" s="349"/>
      <c r="K289" s="349"/>
    </row>
    <row r="290" spans="5:11">
      <c r="E290" s="349"/>
      <c r="K290" s="349"/>
    </row>
    <row r="291" spans="5:11">
      <c r="E291" s="349"/>
      <c r="K291" s="349"/>
    </row>
  </sheetData>
  <conditionalFormatting sqref="C13:M14 E20:F21 K20:K22 E26:F31 K27:K28 K31:K34 E33:F72 K36:K64 E74:F100 K102:K105 E102:F107 E108 E110:F112 K111:K196">
    <cfRule type="cellIs" dxfId="39" priority="2" operator="equal">
      <formula>0</formula>
    </cfRule>
  </conditionalFormatting>
  <conditionalFormatting sqref="E198:E291 K216:K291">
    <cfRule type="cellIs" dxfId="38" priority="4" operator="equal">
      <formula>0</formula>
    </cfRule>
  </conditionalFormatting>
  <conditionalFormatting sqref="K66:K80">
    <cfRule type="cellIs" dxfId="37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4:N282"/>
  <sheetViews>
    <sheetView showGridLines="0" workbookViewId="0">
      <selection activeCell="A12" sqref="A12:N16"/>
    </sheetView>
  </sheetViews>
  <sheetFormatPr baseColWidth="10" defaultColWidth="11.453125" defaultRowHeight="13"/>
  <cols>
    <col min="1" max="16384" width="11.453125" style="260"/>
  </cols>
  <sheetData>
    <row r="4" spans="2:14" ht="14">
      <c r="B4" s="258" t="s">
        <v>123</v>
      </c>
      <c r="C4" s="259">
        <v>2</v>
      </c>
      <c r="D4" s="259" t="s">
        <v>196</v>
      </c>
    </row>
    <row r="5" spans="2:14">
      <c r="B5" s="351"/>
      <c r="C5" s="352" t="s">
        <v>197</v>
      </c>
      <c r="D5" s="263"/>
      <c r="E5" s="264" t="s">
        <v>126</v>
      </c>
      <c r="F5" s="265"/>
      <c r="G5" s="266" t="s">
        <v>127</v>
      </c>
    </row>
    <row r="6" spans="2:14" ht="13.5">
      <c r="B6" s="308" t="s">
        <v>128</v>
      </c>
      <c r="C6" s="353">
        <v>55118.899868643319</v>
      </c>
      <c r="D6" s="354">
        <f>C6/$C$6</f>
        <v>1</v>
      </c>
      <c r="E6" s="355" t="e">
        <f>SUM(E7:E8)</f>
        <v>#VALUE!</v>
      </c>
      <c r="F6" s="91" t="e">
        <f>E6/$D$3</f>
        <v>#VALUE!</v>
      </c>
      <c r="G6" s="271" t="s">
        <v>129</v>
      </c>
      <c r="I6" s="272" t="s">
        <v>130</v>
      </c>
      <c r="J6" s="87">
        <v>0.7</v>
      </c>
      <c r="K6" s="356">
        <f>J6*C6</f>
        <v>38583.229908050322</v>
      </c>
    </row>
    <row r="7" spans="2:14">
      <c r="B7" s="357" t="s">
        <v>110</v>
      </c>
      <c r="C7" s="358">
        <f>0.85617724*C6</f>
        <v>47191.547561371393</v>
      </c>
      <c r="D7" s="93">
        <f t="shared" ref="D7:D8" si="0">C7/$C$6</f>
        <v>0.85617723999999984</v>
      </c>
      <c r="E7" s="359" t="e">
        <f>SUMIFS([17]Ram!H5:H1003,[17]Ram!D5:D1003,230,[17]Ram!G5:G1003,"S")</f>
        <v>#VALUE!</v>
      </c>
      <c r="F7" s="92" t="e">
        <f>E7/$D$3</f>
        <v>#VALUE!</v>
      </c>
      <c r="G7" s="360" t="e">
        <f>C7/E7</f>
        <v>#VALUE!</v>
      </c>
      <c r="I7" s="272" t="s">
        <v>131</v>
      </c>
      <c r="J7" s="87">
        <v>0.3</v>
      </c>
      <c r="K7" s="356">
        <f>J7*C6</f>
        <v>16535.669960592993</v>
      </c>
    </row>
    <row r="8" spans="2:14">
      <c r="B8" s="361" t="s">
        <v>132</v>
      </c>
      <c r="C8" s="362">
        <f>0.14382276*C6</f>
        <v>7927.352307271919</v>
      </c>
      <c r="D8" s="90">
        <f t="shared" si="0"/>
        <v>0.14382275999999999</v>
      </c>
      <c r="E8" s="363" t="e">
        <f>SUMIFS([17]Ram!H5:H1003,[17]Ram!D5:D1003,115,[17]Ram!G5:G1003,"S")</f>
        <v>#VALUE!</v>
      </c>
      <c r="F8" s="94" t="e">
        <f>E8/$D$3</f>
        <v>#VALUE!</v>
      </c>
      <c r="G8" s="364" t="e">
        <f>C8/E8</f>
        <v>#VALUE!</v>
      </c>
    </row>
    <row r="9" spans="2:14">
      <c r="B9" s="283"/>
      <c r="C9" s="283"/>
      <c r="I9" s="285" t="s">
        <v>226</v>
      </c>
      <c r="N9" s="286">
        <v>8620.303209524147</v>
      </c>
    </row>
    <row r="10" spans="2:14" ht="13.5">
      <c r="B10" s="302" t="s">
        <v>133</v>
      </c>
      <c r="C10" s="353">
        <v>0</v>
      </c>
      <c r="D10" s="86">
        <v>1</v>
      </c>
      <c r="E10" s="365" t="e">
        <f>SUMIFS([17]Ram!H5:H1003,[17]Ram!D5:D1003,230,[17]Ram!G5:G1003,"SD")</f>
        <v>#VALUE!</v>
      </c>
      <c r="F10" s="86">
        <v>1</v>
      </c>
      <c r="G10" s="366">
        <f>IF(C10&gt;0,C10/E10,0)</f>
        <v>0</v>
      </c>
      <c r="H10" s="260" t="s">
        <v>134</v>
      </c>
    </row>
    <row r="12" spans="2:14">
      <c r="B12" s="289" t="s">
        <v>264</v>
      </c>
    </row>
    <row r="13" spans="2:14">
      <c r="B13" s="290" t="s">
        <v>135</v>
      </c>
      <c r="C13" s="291" t="s">
        <v>16</v>
      </c>
      <c r="D13" s="292" t="s">
        <v>17</v>
      </c>
      <c r="E13" s="292" t="s">
        <v>18</v>
      </c>
      <c r="F13" s="292" t="s">
        <v>19</v>
      </c>
      <c r="G13" s="292" t="s">
        <v>20</v>
      </c>
      <c r="H13" s="292" t="s">
        <v>21</v>
      </c>
      <c r="I13" s="292" t="s">
        <v>22</v>
      </c>
      <c r="J13" s="292" t="s">
        <v>23</v>
      </c>
      <c r="K13" s="292" t="s">
        <v>24</v>
      </c>
      <c r="L13" s="293" t="s">
        <v>25</v>
      </c>
      <c r="M13" s="294" t="s">
        <v>15</v>
      </c>
    </row>
    <row r="14" spans="2:14">
      <c r="B14" s="295" t="s">
        <v>136</v>
      </c>
      <c r="C14" s="367">
        <f>E20</f>
        <v>210.2</v>
      </c>
      <c r="D14" s="367">
        <f>E26</f>
        <v>537.77</v>
      </c>
      <c r="E14" s="367">
        <f>E33</f>
        <v>169.17</v>
      </c>
      <c r="F14" s="367">
        <f>E43</f>
        <v>348.39300000000003</v>
      </c>
      <c r="G14" s="367">
        <f>E67</f>
        <v>278.7</v>
      </c>
      <c r="H14" s="367">
        <f>E80</f>
        <v>105.8</v>
      </c>
      <c r="I14" s="367">
        <f>E85</f>
        <v>188.76</v>
      </c>
      <c r="J14" s="367">
        <f>E90</f>
        <v>260</v>
      </c>
      <c r="K14" s="367">
        <f>E93</f>
        <v>567.4</v>
      </c>
      <c r="L14" s="367">
        <f>E100</f>
        <v>254.02999999999997</v>
      </c>
      <c r="M14" s="368">
        <f>SUM(C14:L14)</f>
        <v>2920.223</v>
      </c>
      <c r="N14" s="369">
        <f>SUM(E20:E105)-E20-E26-E33-E43-E67-E80-E85-E90-E93-E100</f>
        <v>2920.2229999999981</v>
      </c>
    </row>
    <row r="15" spans="2:14">
      <c r="B15" s="299" t="s">
        <v>137</v>
      </c>
      <c r="C15" s="370">
        <f>K20</f>
        <v>27.319999999999997</v>
      </c>
      <c r="D15" s="370">
        <f>K25</f>
        <v>0</v>
      </c>
      <c r="E15" s="370">
        <f>K27</f>
        <v>7.0000000000000007E-2</v>
      </c>
      <c r="F15" s="370">
        <f>K31</f>
        <v>85.890000000000015</v>
      </c>
      <c r="G15" s="370">
        <f>K37</f>
        <v>209.70999999999998</v>
      </c>
      <c r="H15" s="370">
        <f>K46</f>
        <v>117.94</v>
      </c>
      <c r="I15" s="370">
        <f>K52</f>
        <v>1017.5400000000001</v>
      </c>
      <c r="J15" s="370">
        <f>K66</f>
        <v>1.6</v>
      </c>
      <c r="K15" s="370">
        <f>K70</f>
        <v>171.71699999999998</v>
      </c>
      <c r="L15" s="370">
        <f>K77</f>
        <v>40.700000000000003</v>
      </c>
      <c r="M15" s="371">
        <f>SUM(C15:L15)</f>
        <v>1672.4869999999999</v>
      </c>
      <c r="N15" s="369">
        <f>SUM(K20:K105)-K20-K25-K27-K31-K37-K46-K52-K66-K70-K77</f>
        <v>1672.4869999999989</v>
      </c>
    </row>
    <row r="18" spans="2:13">
      <c r="B18" s="289" t="s">
        <v>138</v>
      </c>
      <c r="C18" s="302"/>
      <c r="D18" s="302"/>
      <c r="E18" s="302"/>
      <c r="F18" s="302"/>
      <c r="G18" s="302"/>
      <c r="H18" s="303" t="s">
        <v>139</v>
      </c>
      <c r="I18" s="302"/>
      <c r="J18" s="302"/>
      <c r="K18" s="302"/>
      <c r="L18" s="302"/>
      <c r="M18" s="302"/>
    </row>
    <row r="19" spans="2:13" ht="26">
      <c r="B19" s="304" t="s">
        <v>140</v>
      </c>
      <c r="C19" s="305"/>
      <c r="D19" s="306" t="s">
        <v>141</v>
      </c>
      <c r="E19" s="307" t="s">
        <v>136</v>
      </c>
      <c r="F19" s="307" t="s">
        <v>142</v>
      </c>
      <c r="H19" s="308" t="s">
        <v>140</v>
      </c>
      <c r="I19" s="309"/>
      <c r="J19" s="310" t="s">
        <v>141</v>
      </c>
      <c r="K19" s="311" t="s">
        <v>137</v>
      </c>
    </row>
    <row r="20" spans="2:13" ht="13.5">
      <c r="B20" s="312">
        <v>1</v>
      </c>
      <c r="C20" s="313"/>
      <c r="D20" s="314"/>
      <c r="E20" s="315">
        <f>SUM(E21:E25)</f>
        <v>210.2</v>
      </c>
      <c r="F20" s="316"/>
      <c r="H20" s="312">
        <v>1</v>
      </c>
      <c r="I20" s="313"/>
      <c r="J20" s="314"/>
      <c r="K20" s="315">
        <f>SUM(K21:K24)</f>
        <v>27.319999999999997</v>
      </c>
    </row>
    <row r="21" spans="2:13" ht="13.5">
      <c r="B21" s="317" t="s">
        <v>79</v>
      </c>
      <c r="D21" s="318">
        <v>6014</v>
      </c>
      <c r="E21" s="319">
        <v>88.2</v>
      </c>
      <c r="F21" s="320">
        <v>0</v>
      </c>
      <c r="H21" s="321" t="s">
        <v>87</v>
      </c>
      <c r="J21" s="318"/>
      <c r="K21" s="319"/>
    </row>
    <row r="22" spans="2:13">
      <c r="B22" s="317" t="s">
        <v>27</v>
      </c>
      <c r="D22" s="318">
        <v>6014</v>
      </c>
      <c r="E22" s="319">
        <v>56</v>
      </c>
      <c r="F22" s="320">
        <v>0</v>
      </c>
      <c r="H22" s="317" t="s">
        <v>143</v>
      </c>
      <c r="J22" s="318">
        <v>6014</v>
      </c>
      <c r="K22" s="319">
        <v>26.49</v>
      </c>
    </row>
    <row r="23" spans="2:13">
      <c r="B23" s="317" t="s">
        <v>144</v>
      </c>
      <c r="D23" s="318">
        <v>6014</v>
      </c>
      <c r="E23" s="319">
        <v>10</v>
      </c>
      <c r="F23" s="320">
        <v>0</v>
      </c>
      <c r="H23" s="317" t="s">
        <v>145</v>
      </c>
      <c r="J23" s="318">
        <v>6014</v>
      </c>
      <c r="K23" s="319">
        <v>0.83</v>
      </c>
    </row>
    <row r="24" spans="2:13">
      <c r="B24" s="317" t="s">
        <v>198</v>
      </c>
      <c r="D24" s="318">
        <v>6014</v>
      </c>
      <c r="E24" s="319">
        <v>56</v>
      </c>
      <c r="F24" s="320">
        <v>3</v>
      </c>
      <c r="H24" s="324" t="s">
        <v>146</v>
      </c>
      <c r="I24" s="325"/>
      <c r="J24" s="326"/>
      <c r="K24" s="327"/>
    </row>
    <row r="25" spans="2:13" ht="13.5">
      <c r="B25" s="323" t="s">
        <v>146</v>
      </c>
      <c r="D25" s="318"/>
      <c r="E25" s="319"/>
      <c r="F25" s="320"/>
      <c r="H25" s="328">
        <v>2</v>
      </c>
      <c r="I25" s="329"/>
      <c r="J25" s="330"/>
      <c r="K25" s="331">
        <f>SUM(K26)</f>
        <v>0</v>
      </c>
    </row>
    <row r="26" spans="2:13" ht="13.5">
      <c r="B26" s="328">
        <v>2</v>
      </c>
      <c r="C26" s="329"/>
      <c r="D26" s="330"/>
      <c r="E26" s="331">
        <f>SUM(E27:E32)</f>
        <v>537.77</v>
      </c>
      <c r="F26" s="332"/>
      <c r="H26" s="324" t="s">
        <v>146</v>
      </c>
      <c r="I26" s="325"/>
      <c r="J26" s="326"/>
      <c r="K26" s="327"/>
    </row>
    <row r="27" spans="2:13" ht="13.5">
      <c r="B27" s="317" t="s">
        <v>28</v>
      </c>
      <c r="D27" s="318">
        <v>6096</v>
      </c>
      <c r="E27" s="319">
        <v>300</v>
      </c>
      <c r="F27" s="320">
        <v>0</v>
      </c>
      <c r="H27" s="312">
        <v>3</v>
      </c>
      <c r="I27" s="313"/>
      <c r="J27" s="314"/>
      <c r="K27" s="315">
        <f>SUM(K28:K30)</f>
        <v>7.0000000000000007E-2</v>
      </c>
    </row>
    <row r="28" spans="2:13" ht="13.5">
      <c r="B28" s="317" t="s">
        <v>29</v>
      </c>
      <c r="D28" s="318">
        <v>6179</v>
      </c>
      <c r="E28" s="319">
        <v>120</v>
      </c>
      <c r="F28" s="320">
        <v>0</v>
      </c>
      <c r="H28" s="321" t="s">
        <v>87</v>
      </c>
      <c r="J28" s="318"/>
      <c r="K28" s="319"/>
    </row>
    <row r="29" spans="2:13">
      <c r="B29" s="317" t="s">
        <v>72</v>
      </c>
      <c r="D29" s="318">
        <v>6179</v>
      </c>
      <c r="E29" s="319">
        <v>25.34</v>
      </c>
      <c r="F29" s="320">
        <v>0</v>
      </c>
      <c r="H29" s="317" t="s">
        <v>88</v>
      </c>
      <c r="J29" s="318">
        <v>6087</v>
      </c>
      <c r="K29" s="319">
        <v>7.0000000000000007E-2</v>
      </c>
    </row>
    <row r="30" spans="2:13">
      <c r="B30" s="317" t="s">
        <v>73</v>
      </c>
      <c r="D30" s="318">
        <v>6179</v>
      </c>
      <c r="E30" s="319">
        <v>33.770000000000003</v>
      </c>
      <c r="F30" s="320">
        <v>0</v>
      </c>
      <c r="H30" s="333" t="s">
        <v>146</v>
      </c>
      <c r="J30" s="318"/>
      <c r="K30" s="319"/>
    </row>
    <row r="31" spans="2:13" ht="13.5">
      <c r="B31" s="317" t="s">
        <v>74</v>
      </c>
      <c r="D31" s="318">
        <v>6179</v>
      </c>
      <c r="E31" s="319">
        <v>58.66</v>
      </c>
      <c r="F31" s="320">
        <v>0</v>
      </c>
      <c r="H31" s="328">
        <v>4</v>
      </c>
      <c r="I31" s="329"/>
      <c r="J31" s="330"/>
      <c r="K31" s="331">
        <f>SUM(K32:K36)</f>
        <v>85.890000000000015</v>
      </c>
    </row>
    <row r="32" spans="2:13" ht="13.5">
      <c r="B32" s="334" t="s">
        <v>146</v>
      </c>
      <c r="C32" s="325"/>
      <c r="D32" s="326"/>
      <c r="E32" s="327"/>
      <c r="F32" s="336"/>
      <c r="H32" s="321" t="s">
        <v>87</v>
      </c>
      <c r="J32" s="318"/>
      <c r="K32" s="319"/>
    </row>
    <row r="33" spans="2:11" ht="13.5">
      <c r="B33" s="312">
        <v>3</v>
      </c>
      <c r="C33" s="313"/>
      <c r="D33" s="314"/>
      <c r="E33" s="315">
        <f>SUM(E34:E42)</f>
        <v>169.17</v>
      </c>
      <c r="F33" s="316"/>
      <c r="H33" s="317" t="s">
        <v>148</v>
      </c>
      <c r="J33" s="318">
        <v>6013</v>
      </c>
      <c r="K33" s="319">
        <v>9.76</v>
      </c>
    </row>
    <row r="34" spans="2:11">
      <c r="B34" s="317" t="s">
        <v>147</v>
      </c>
      <c r="D34" s="318">
        <v>6088</v>
      </c>
      <c r="E34" s="319">
        <v>47.2</v>
      </c>
      <c r="F34" s="320">
        <v>0</v>
      </c>
      <c r="H34" s="317" t="s">
        <v>149</v>
      </c>
      <c r="J34" s="318">
        <v>6013</v>
      </c>
      <c r="K34" s="319">
        <v>55.7</v>
      </c>
    </row>
    <row r="35" spans="2:11">
      <c r="B35" s="317" t="s">
        <v>30</v>
      </c>
      <c r="D35" s="318">
        <v>6092</v>
      </c>
      <c r="E35" s="319">
        <v>54.76</v>
      </c>
      <c r="F35" s="320">
        <v>0</v>
      </c>
      <c r="H35" s="317" t="s">
        <v>199</v>
      </c>
      <c r="J35" s="318">
        <v>6012</v>
      </c>
      <c r="K35" s="319">
        <v>20.43</v>
      </c>
    </row>
    <row r="36" spans="2:11">
      <c r="B36" s="317" t="s">
        <v>76</v>
      </c>
      <c r="D36" s="318">
        <v>6300</v>
      </c>
      <c r="E36" s="319">
        <v>19.75</v>
      </c>
      <c r="F36" s="320">
        <v>0</v>
      </c>
      <c r="H36" s="324" t="s">
        <v>146</v>
      </c>
      <c r="I36" s="325"/>
      <c r="J36" s="326"/>
      <c r="K36" s="327"/>
    </row>
    <row r="37" spans="2:11" ht="13.5">
      <c r="B37" s="317" t="s">
        <v>75</v>
      </c>
      <c r="D37" s="318">
        <v>6300</v>
      </c>
      <c r="E37" s="319">
        <v>15.5</v>
      </c>
      <c r="F37" s="320">
        <v>0</v>
      </c>
      <c r="H37" s="312">
        <v>5</v>
      </c>
      <c r="I37" s="313"/>
      <c r="J37" s="314"/>
      <c r="K37" s="315">
        <f>SUM(K38:K45)</f>
        <v>209.70999999999998</v>
      </c>
    </row>
    <row r="38" spans="2:11" ht="13.5">
      <c r="B38" s="317" t="s">
        <v>150</v>
      </c>
      <c r="D38" s="318">
        <v>6300</v>
      </c>
      <c r="E38" s="319">
        <v>8</v>
      </c>
      <c r="F38" s="320">
        <v>0</v>
      </c>
      <c r="H38" s="321" t="s">
        <v>151</v>
      </c>
      <c r="J38" s="318"/>
      <c r="K38" s="319"/>
    </row>
    <row r="39" spans="2:11">
      <c r="B39" s="317" t="s">
        <v>152</v>
      </c>
      <c r="D39" s="318">
        <v>6300</v>
      </c>
      <c r="E39" s="319">
        <v>9.86</v>
      </c>
      <c r="F39" s="320">
        <v>0</v>
      </c>
      <c r="H39" s="317" t="s">
        <v>153</v>
      </c>
      <c r="J39" s="318" t="s">
        <v>200</v>
      </c>
      <c r="K39" s="319">
        <v>170.76</v>
      </c>
    </row>
    <row r="40" spans="2:11" ht="13.5">
      <c r="B40" s="317" t="s">
        <v>201</v>
      </c>
      <c r="D40" s="318">
        <v>6300</v>
      </c>
      <c r="E40" s="319">
        <v>10</v>
      </c>
      <c r="F40" s="320">
        <v>1</v>
      </c>
      <c r="H40" s="321" t="s">
        <v>154</v>
      </c>
      <c r="J40" s="318"/>
      <c r="K40" s="319"/>
    </row>
    <row r="41" spans="2:11">
      <c r="B41" s="317" t="s">
        <v>202</v>
      </c>
      <c r="D41" s="318">
        <v>6300</v>
      </c>
      <c r="E41" s="319">
        <v>4.0999999999999996</v>
      </c>
      <c r="F41" s="320">
        <v>7</v>
      </c>
      <c r="H41" s="317" t="s">
        <v>155</v>
      </c>
      <c r="J41" s="318">
        <v>6009</v>
      </c>
      <c r="K41" s="319">
        <v>1.1299999999999999</v>
      </c>
    </row>
    <row r="42" spans="2:11">
      <c r="B42" s="323" t="s">
        <v>146</v>
      </c>
      <c r="D42" s="318"/>
      <c r="E42" s="319"/>
      <c r="F42" s="320"/>
      <c r="H42" s="317" t="s">
        <v>156</v>
      </c>
      <c r="J42" s="318">
        <v>6009</v>
      </c>
      <c r="K42" s="319">
        <v>0.82</v>
      </c>
    </row>
    <row r="43" spans="2:11" ht="13.5">
      <c r="B43" s="328">
        <v>4</v>
      </c>
      <c r="C43" s="329"/>
      <c r="D43" s="330"/>
      <c r="E43" s="331">
        <f>SUM(E44:E66)</f>
        <v>348.39300000000003</v>
      </c>
      <c r="F43" s="332"/>
      <c r="H43" s="321" t="s">
        <v>203</v>
      </c>
      <c r="J43" s="318"/>
      <c r="K43" s="319"/>
    </row>
    <row r="44" spans="2:11">
      <c r="B44" s="317" t="s">
        <v>78</v>
      </c>
      <c r="D44" s="318">
        <v>6381</v>
      </c>
      <c r="E44" s="319">
        <v>10</v>
      </c>
      <c r="F44" s="320">
        <v>0</v>
      </c>
      <c r="H44" s="317" t="s">
        <v>204</v>
      </c>
      <c r="J44" s="318">
        <v>6008</v>
      </c>
      <c r="K44" s="319">
        <v>37</v>
      </c>
    </row>
    <row r="45" spans="2:11">
      <c r="B45" s="317" t="s">
        <v>157</v>
      </c>
      <c r="D45" s="318">
        <v>6381</v>
      </c>
      <c r="E45" s="319">
        <v>3.5</v>
      </c>
      <c r="F45" s="320">
        <v>0</v>
      </c>
      <c r="H45" s="333" t="s">
        <v>146</v>
      </c>
      <c r="J45" s="318"/>
      <c r="K45" s="319"/>
    </row>
    <row r="46" spans="2:11" ht="13.5">
      <c r="B46" s="317" t="s">
        <v>84</v>
      </c>
      <c r="D46" s="318">
        <v>6013</v>
      </c>
      <c r="E46" s="319">
        <v>6.12</v>
      </c>
      <c r="F46" s="320">
        <v>0</v>
      </c>
      <c r="H46" s="328">
        <v>6</v>
      </c>
      <c r="I46" s="329"/>
      <c r="J46" s="330"/>
      <c r="K46" s="331">
        <f>SUM(K47:K51)</f>
        <v>117.94</v>
      </c>
    </row>
    <row r="47" spans="2:11" ht="13.5">
      <c r="B47" s="317" t="s">
        <v>158</v>
      </c>
      <c r="D47" s="318">
        <v>6013</v>
      </c>
      <c r="E47" s="319">
        <v>4.95</v>
      </c>
      <c r="F47" s="320">
        <v>0</v>
      </c>
      <c r="H47" s="321" t="s">
        <v>151</v>
      </c>
      <c r="J47" s="318"/>
      <c r="K47" s="319"/>
    </row>
    <row r="48" spans="2:11">
      <c r="B48" s="317" t="s">
        <v>77</v>
      </c>
      <c r="D48" s="318">
        <v>6381</v>
      </c>
      <c r="E48" s="319">
        <v>20</v>
      </c>
      <c r="F48" s="320">
        <v>0</v>
      </c>
      <c r="H48" s="317" t="s">
        <v>159</v>
      </c>
      <c r="J48" s="318">
        <v>6005</v>
      </c>
      <c r="K48" s="319">
        <v>116.71</v>
      </c>
    </row>
    <row r="49" spans="2:11" ht="13.5">
      <c r="B49" s="317" t="s">
        <v>160</v>
      </c>
      <c r="D49" s="318">
        <v>6381</v>
      </c>
      <c r="E49" s="319">
        <v>12.89</v>
      </c>
      <c r="F49" s="320">
        <v>0</v>
      </c>
      <c r="H49" s="321" t="s">
        <v>154</v>
      </c>
      <c r="J49" s="318"/>
      <c r="K49" s="319"/>
    </row>
    <row r="50" spans="2:11">
      <c r="B50" s="317" t="s">
        <v>161</v>
      </c>
      <c r="D50" s="318">
        <v>6386</v>
      </c>
      <c r="E50" s="319">
        <v>14</v>
      </c>
      <c r="F50" s="320">
        <v>0</v>
      </c>
      <c r="H50" s="317" t="s">
        <v>155</v>
      </c>
      <c r="J50" s="318">
        <v>6005</v>
      </c>
      <c r="K50" s="319">
        <v>1.23</v>
      </c>
    </row>
    <row r="51" spans="2:11">
      <c r="B51" s="317" t="s">
        <v>0</v>
      </c>
      <c r="D51" s="337" t="s">
        <v>162</v>
      </c>
      <c r="E51" s="319">
        <v>2.5</v>
      </c>
      <c r="F51" s="320">
        <v>0</v>
      </c>
      <c r="H51" s="324" t="s">
        <v>146</v>
      </c>
      <c r="I51" s="325"/>
      <c r="J51" s="326"/>
      <c r="K51" s="327"/>
    </row>
    <row r="52" spans="2:11" ht="13.5">
      <c r="B52" s="317" t="s">
        <v>1</v>
      </c>
      <c r="D52" s="337" t="s">
        <v>162</v>
      </c>
      <c r="E52" s="319">
        <v>3.12</v>
      </c>
      <c r="F52" s="320">
        <v>0</v>
      </c>
      <c r="H52" s="312">
        <v>7</v>
      </c>
      <c r="I52" s="313"/>
      <c r="J52" s="314"/>
      <c r="K52" s="315">
        <f>SUM(K53:K65)</f>
        <v>1017.5400000000001</v>
      </c>
    </row>
    <row r="53" spans="2:11" ht="13.5">
      <c r="B53" s="317" t="s">
        <v>163</v>
      </c>
      <c r="D53" s="318">
        <v>6381</v>
      </c>
      <c r="E53" s="319">
        <v>10</v>
      </c>
      <c r="F53" s="320">
        <v>0</v>
      </c>
      <c r="H53" s="321" t="s">
        <v>164</v>
      </c>
      <c r="J53" s="318"/>
      <c r="K53" s="319"/>
    </row>
    <row r="54" spans="2:11">
      <c r="B54" s="317" t="s">
        <v>165</v>
      </c>
      <c r="D54" s="318">
        <v>6381</v>
      </c>
      <c r="E54" s="319">
        <v>10</v>
      </c>
      <c r="F54" s="320">
        <v>0</v>
      </c>
      <c r="H54" s="317" t="s">
        <v>166</v>
      </c>
      <c r="J54" s="318">
        <v>6002</v>
      </c>
      <c r="K54" s="319">
        <v>508.67</v>
      </c>
    </row>
    <row r="55" spans="2:11" ht="13.5">
      <c r="B55" s="317" t="s">
        <v>168</v>
      </c>
      <c r="D55" s="318">
        <v>6013</v>
      </c>
      <c r="E55" s="319">
        <v>8.4</v>
      </c>
      <c r="F55" s="320">
        <v>0</v>
      </c>
      <c r="H55" s="321" t="s">
        <v>151</v>
      </c>
      <c r="J55" s="318"/>
      <c r="K55" s="319"/>
    </row>
    <row r="56" spans="2:11">
      <c r="B56" s="317" t="s">
        <v>80</v>
      </c>
      <c r="D56" s="318">
        <v>6690</v>
      </c>
      <c r="E56" s="319">
        <v>33.299999999999997</v>
      </c>
      <c r="F56" s="320">
        <v>0</v>
      </c>
      <c r="H56" s="317" t="s">
        <v>166</v>
      </c>
      <c r="J56" s="318" t="s">
        <v>205</v>
      </c>
      <c r="K56" s="319">
        <v>470.47</v>
      </c>
    </row>
    <row r="57" spans="2:11" ht="13.5">
      <c r="B57" s="317" t="s">
        <v>81</v>
      </c>
      <c r="D57" s="318">
        <v>6690</v>
      </c>
      <c r="E57" s="319">
        <v>49.95</v>
      </c>
      <c r="F57" s="320">
        <v>0</v>
      </c>
      <c r="H57" s="321" t="s">
        <v>154</v>
      </c>
      <c r="J57" s="318"/>
      <c r="K57" s="319"/>
    </row>
    <row r="58" spans="2:11">
      <c r="B58" s="317" t="s">
        <v>82</v>
      </c>
      <c r="D58" s="318">
        <v>6690</v>
      </c>
      <c r="E58" s="319">
        <v>69.48</v>
      </c>
      <c r="F58" s="320">
        <v>1</v>
      </c>
      <c r="H58" s="317" t="s">
        <v>169</v>
      </c>
      <c r="J58" s="318">
        <v>6002</v>
      </c>
      <c r="K58" s="319">
        <v>2.86</v>
      </c>
    </row>
    <row r="59" spans="2:11">
      <c r="B59" s="317" t="s">
        <v>206</v>
      </c>
      <c r="D59" s="318">
        <v>6386</v>
      </c>
      <c r="E59" s="319">
        <v>4.0999999999999996</v>
      </c>
      <c r="F59" s="320">
        <v>7</v>
      </c>
      <c r="H59" s="317" t="s">
        <v>170</v>
      </c>
      <c r="J59" s="318">
        <v>6024</v>
      </c>
      <c r="K59" s="319">
        <v>24.65</v>
      </c>
    </row>
    <row r="60" spans="2:11">
      <c r="B60" s="317" t="s">
        <v>83</v>
      </c>
      <c r="D60" s="318">
        <v>6860</v>
      </c>
      <c r="E60" s="319">
        <v>28.56</v>
      </c>
      <c r="F60" s="320">
        <v>7</v>
      </c>
      <c r="H60" s="317" t="s">
        <v>89</v>
      </c>
      <c r="J60" s="318">
        <v>6002</v>
      </c>
      <c r="K60" s="319">
        <v>0.64</v>
      </c>
    </row>
    <row r="61" spans="2:11">
      <c r="B61" s="317" t="s">
        <v>207</v>
      </c>
      <c r="D61" s="318">
        <v>6013</v>
      </c>
      <c r="E61" s="319">
        <v>8.58</v>
      </c>
      <c r="F61" s="320">
        <v>7</v>
      </c>
      <c r="H61" s="317" t="s">
        <v>173</v>
      </c>
      <c r="J61" s="318">
        <v>6002</v>
      </c>
      <c r="K61" s="319">
        <v>0.93</v>
      </c>
    </row>
    <row r="62" spans="2:11">
      <c r="B62" s="317" t="s">
        <v>208</v>
      </c>
      <c r="D62" s="318">
        <v>6760</v>
      </c>
      <c r="E62" s="319">
        <v>26</v>
      </c>
      <c r="F62" s="320">
        <v>7</v>
      </c>
      <c r="H62" s="317" t="s">
        <v>174</v>
      </c>
      <c r="J62" s="318">
        <v>6018</v>
      </c>
      <c r="K62" s="319">
        <v>1.22</v>
      </c>
    </row>
    <row r="63" spans="2:11">
      <c r="B63" s="317" t="s">
        <v>209</v>
      </c>
      <c r="D63" s="318">
        <v>6760</v>
      </c>
      <c r="E63" s="319">
        <v>6</v>
      </c>
      <c r="F63" s="320">
        <v>7</v>
      </c>
      <c r="H63" s="317" t="s">
        <v>155</v>
      </c>
      <c r="J63" s="318">
        <v>6002</v>
      </c>
      <c r="K63" s="319">
        <v>7.16</v>
      </c>
    </row>
    <row r="64" spans="2:11">
      <c r="B64" s="317" t="s">
        <v>210</v>
      </c>
      <c r="D64" s="318">
        <v>6760</v>
      </c>
      <c r="E64" s="319">
        <v>12.3</v>
      </c>
      <c r="F64" s="320">
        <v>8</v>
      </c>
      <c r="H64" s="317" t="s">
        <v>176</v>
      </c>
      <c r="J64" s="318">
        <v>6002</v>
      </c>
      <c r="K64" s="319">
        <v>0.94</v>
      </c>
    </row>
    <row r="65" spans="2:11">
      <c r="B65" s="317" t="s">
        <v>211</v>
      </c>
      <c r="D65" s="318">
        <v>6386</v>
      </c>
      <c r="E65" s="319">
        <v>4.6429999999999998</v>
      </c>
      <c r="F65" s="320">
        <v>12</v>
      </c>
      <c r="H65" s="324" t="s">
        <v>146</v>
      </c>
      <c r="I65" s="325"/>
      <c r="J65" s="326"/>
      <c r="K65" s="327"/>
    </row>
    <row r="66" spans="2:11" ht="13.5">
      <c r="B66" s="334" t="s">
        <v>146</v>
      </c>
      <c r="C66" s="325"/>
      <c r="D66" s="326"/>
      <c r="E66" s="327"/>
      <c r="F66" s="336"/>
      <c r="H66" s="328">
        <v>8</v>
      </c>
      <c r="I66" s="329"/>
      <c r="J66" s="330"/>
      <c r="K66" s="331">
        <f>SUM(K67:K69)</f>
        <v>1.6</v>
      </c>
    </row>
    <row r="67" spans="2:11" ht="13.5">
      <c r="B67" s="312">
        <v>5</v>
      </c>
      <c r="C67" s="313"/>
      <c r="D67" s="314"/>
      <c r="E67" s="315">
        <f>SUM(E68:E79)</f>
        <v>278.7</v>
      </c>
      <c r="F67" s="316"/>
      <c r="H67" s="321" t="s">
        <v>164</v>
      </c>
      <c r="J67" s="318"/>
      <c r="K67" s="319"/>
    </row>
    <row r="68" spans="2:11">
      <c r="B68" s="317" t="s">
        <v>171</v>
      </c>
      <c r="D68" s="318">
        <v>6010</v>
      </c>
      <c r="E68" s="319">
        <v>5.35</v>
      </c>
      <c r="F68" s="320">
        <v>0</v>
      </c>
      <c r="H68" s="317" t="s">
        <v>181</v>
      </c>
      <c r="J68" s="318">
        <v>6100</v>
      </c>
      <c r="K68" s="319">
        <v>1.6</v>
      </c>
    </row>
    <row r="69" spans="2:11">
      <c r="B69" s="317" t="s">
        <v>172</v>
      </c>
      <c r="D69" s="318">
        <v>6010</v>
      </c>
      <c r="E69" s="319">
        <v>5.05</v>
      </c>
      <c r="F69" s="320">
        <v>0</v>
      </c>
      <c r="H69" s="324" t="s">
        <v>146</v>
      </c>
      <c r="I69" s="325"/>
      <c r="J69" s="326"/>
      <c r="K69" s="327"/>
    </row>
    <row r="70" spans="2:11" ht="13.5">
      <c r="B70" s="317" t="s">
        <v>5</v>
      </c>
      <c r="D70" s="337" t="s">
        <v>162</v>
      </c>
      <c r="E70" s="319">
        <v>6.6</v>
      </c>
      <c r="F70" s="320">
        <v>0</v>
      </c>
      <c r="H70" s="312">
        <v>9</v>
      </c>
      <c r="I70" s="313"/>
      <c r="J70" s="314"/>
      <c r="K70" s="315">
        <f>SUM(K71:K76)</f>
        <v>171.71699999999998</v>
      </c>
    </row>
    <row r="71" spans="2:11" ht="13.5">
      <c r="B71" s="317" t="s">
        <v>31</v>
      </c>
      <c r="D71" s="337" t="s">
        <v>162</v>
      </c>
      <c r="E71" s="319">
        <v>4.5</v>
      </c>
      <c r="F71" s="320">
        <v>0</v>
      </c>
      <c r="H71" s="321" t="s">
        <v>164</v>
      </c>
      <c r="J71" s="318"/>
      <c r="K71" s="319"/>
    </row>
    <row r="72" spans="2:11">
      <c r="B72" s="317" t="s">
        <v>175</v>
      </c>
      <c r="D72" s="337" t="s">
        <v>162</v>
      </c>
      <c r="E72" s="319">
        <v>2.4</v>
      </c>
      <c r="F72" s="320">
        <v>0</v>
      </c>
      <c r="H72" s="317" t="s">
        <v>26</v>
      </c>
      <c r="J72" s="318">
        <v>6059</v>
      </c>
      <c r="K72" s="319">
        <v>162.22999999999999</v>
      </c>
    </row>
    <row r="73" spans="2:11" ht="13.5">
      <c r="B73" s="317" t="s">
        <v>177</v>
      </c>
      <c r="D73" s="318">
        <v>6430</v>
      </c>
      <c r="E73" s="319">
        <v>100</v>
      </c>
      <c r="F73" s="320">
        <v>0</v>
      </c>
      <c r="H73" s="321" t="s">
        <v>154</v>
      </c>
      <c r="J73" s="318"/>
      <c r="K73" s="319"/>
    </row>
    <row r="74" spans="2:11">
      <c r="B74" s="317" t="s">
        <v>178</v>
      </c>
      <c r="D74" s="318">
        <v>6430</v>
      </c>
      <c r="E74" s="319">
        <v>17.5</v>
      </c>
      <c r="F74" s="320">
        <v>0</v>
      </c>
      <c r="H74" s="317" t="s">
        <v>184</v>
      </c>
      <c r="J74" s="318">
        <v>6170</v>
      </c>
      <c r="K74" s="319">
        <v>8.5</v>
      </c>
    </row>
    <row r="75" spans="2:11">
      <c r="B75" s="317" t="s">
        <v>179</v>
      </c>
      <c r="D75" s="318">
        <v>6430</v>
      </c>
      <c r="E75" s="319">
        <v>62.5</v>
      </c>
      <c r="F75" s="320">
        <v>0</v>
      </c>
      <c r="H75" s="317" t="s">
        <v>155</v>
      </c>
      <c r="J75" s="318">
        <v>6059</v>
      </c>
      <c r="K75" s="319">
        <v>0.98699999999999999</v>
      </c>
    </row>
    <row r="76" spans="2:11">
      <c r="B76" s="317" t="s">
        <v>180</v>
      </c>
      <c r="D76" s="318">
        <v>6430</v>
      </c>
      <c r="E76" s="319">
        <v>40</v>
      </c>
      <c r="F76" s="320">
        <v>0</v>
      </c>
      <c r="H76" s="324" t="s">
        <v>146</v>
      </c>
      <c r="I76" s="325"/>
      <c r="J76" s="326"/>
      <c r="K76" s="327"/>
    </row>
    <row r="77" spans="2:11" ht="13.5">
      <c r="B77" s="317" t="s">
        <v>212</v>
      </c>
      <c r="D77" s="318">
        <v>6008</v>
      </c>
      <c r="E77" s="319">
        <v>25.8</v>
      </c>
      <c r="F77" s="320">
        <v>1</v>
      </c>
      <c r="H77" s="328">
        <v>10</v>
      </c>
      <c r="I77" s="329"/>
      <c r="J77" s="330"/>
      <c r="K77" s="331">
        <f>SUM(K78:K81)</f>
        <v>40.700000000000003</v>
      </c>
    </row>
    <row r="78" spans="2:11" ht="13.5">
      <c r="B78" s="317" t="s">
        <v>213</v>
      </c>
      <c r="D78" s="318">
        <v>6010</v>
      </c>
      <c r="E78" s="319">
        <v>9</v>
      </c>
      <c r="F78" s="320">
        <v>8</v>
      </c>
      <c r="H78" s="321" t="s">
        <v>186</v>
      </c>
      <c r="J78" s="318"/>
      <c r="K78" s="319"/>
    </row>
    <row r="79" spans="2:11">
      <c r="B79" s="317" t="s">
        <v>146</v>
      </c>
      <c r="D79" s="318"/>
      <c r="E79" s="319"/>
      <c r="F79" s="320"/>
      <c r="H79" s="317" t="s">
        <v>189</v>
      </c>
      <c r="J79" s="318">
        <v>6340</v>
      </c>
      <c r="K79" s="319">
        <v>27.77</v>
      </c>
    </row>
    <row r="80" spans="2:11" ht="13.5">
      <c r="B80" s="328">
        <v>6</v>
      </c>
      <c r="C80" s="329"/>
      <c r="D80" s="330"/>
      <c r="E80" s="331">
        <f>SUM(E81:E84)</f>
        <v>105.8</v>
      </c>
      <c r="F80" s="332"/>
      <c r="H80" s="317" t="s">
        <v>191</v>
      </c>
      <c r="J80" s="318">
        <v>6261</v>
      </c>
      <c r="K80" s="319">
        <v>12.93</v>
      </c>
    </row>
    <row r="81" spans="2:11">
      <c r="B81" s="317" t="s">
        <v>182</v>
      </c>
      <c r="D81" s="318">
        <v>6005</v>
      </c>
      <c r="E81" s="319">
        <v>96</v>
      </c>
      <c r="F81" s="320">
        <v>0</v>
      </c>
      <c r="H81" s="324" t="s">
        <v>146</v>
      </c>
      <c r="I81" s="325"/>
      <c r="J81" s="326"/>
      <c r="K81" s="327"/>
    </row>
    <row r="82" spans="2:11">
      <c r="B82" s="317" t="s">
        <v>32</v>
      </c>
      <c r="D82" s="337" t="s">
        <v>162</v>
      </c>
      <c r="E82" s="319">
        <v>5.5</v>
      </c>
      <c r="F82" s="320">
        <v>0</v>
      </c>
    </row>
    <row r="83" spans="2:11">
      <c r="B83" s="317" t="s">
        <v>85</v>
      </c>
      <c r="D83" s="337" t="s">
        <v>162</v>
      </c>
      <c r="E83" s="319">
        <v>4.3</v>
      </c>
      <c r="F83" s="320">
        <v>0</v>
      </c>
    </row>
    <row r="84" spans="2:11">
      <c r="B84" s="338" t="s">
        <v>146</v>
      </c>
      <c r="C84" s="325"/>
      <c r="D84" s="326"/>
      <c r="E84" s="327"/>
      <c r="F84" s="336"/>
    </row>
    <row r="85" spans="2:11" ht="13.5">
      <c r="B85" s="312">
        <v>7</v>
      </c>
      <c r="C85" s="313"/>
      <c r="D85" s="314"/>
      <c r="E85" s="315">
        <f>SUM(E86:E89)</f>
        <v>188.76</v>
      </c>
      <c r="F85" s="316"/>
    </row>
    <row r="86" spans="2:11">
      <c r="B86" s="317" t="s">
        <v>33</v>
      </c>
      <c r="D86" s="318">
        <v>6171</v>
      </c>
      <c r="E86" s="319">
        <v>54</v>
      </c>
      <c r="F86" s="320">
        <v>0</v>
      </c>
    </row>
    <row r="87" spans="2:11">
      <c r="B87" s="317" t="s">
        <v>187</v>
      </c>
      <c r="D87" s="318" t="s">
        <v>214</v>
      </c>
      <c r="E87" s="319">
        <v>56</v>
      </c>
      <c r="F87" s="320">
        <v>0</v>
      </c>
    </row>
    <row r="88" spans="2:11">
      <c r="B88" s="317" t="s">
        <v>190</v>
      </c>
      <c r="D88" s="318" t="s">
        <v>214</v>
      </c>
      <c r="E88" s="319">
        <v>78.760000000000005</v>
      </c>
      <c r="F88" s="320">
        <v>0</v>
      </c>
    </row>
    <row r="89" spans="2:11">
      <c r="B89" s="339" t="s">
        <v>146</v>
      </c>
      <c r="C89" s="340"/>
      <c r="D89" s="341"/>
      <c r="E89" s="342"/>
      <c r="F89" s="343"/>
    </row>
    <row r="90" spans="2:11" ht="13.5">
      <c r="B90" s="328">
        <v>8</v>
      </c>
      <c r="C90" s="329"/>
      <c r="D90" s="330"/>
      <c r="E90" s="331">
        <f>SUM(E91:E92)</f>
        <v>260</v>
      </c>
      <c r="F90" s="332"/>
    </row>
    <row r="91" spans="2:11">
      <c r="B91" s="317" t="s">
        <v>4</v>
      </c>
      <c r="D91" s="318">
        <v>6100</v>
      </c>
      <c r="E91" s="319">
        <v>260</v>
      </c>
      <c r="F91" s="320">
        <v>0</v>
      </c>
    </row>
    <row r="92" spans="2:11">
      <c r="B92" s="344" t="s">
        <v>146</v>
      </c>
      <c r="C92" s="325"/>
      <c r="D92" s="326"/>
      <c r="E92" s="327"/>
      <c r="F92" s="336"/>
    </row>
    <row r="93" spans="2:11" ht="13.5">
      <c r="B93" s="312">
        <v>9</v>
      </c>
      <c r="C93" s="345"/>
      <c r="D93" s="346"/>
      <c r="E93" s="315">
        <f>SUM(E94:E99)</f>
        <v>567.4</v>
      </c>
      <c r="F93" s="316"/>
    </row>
    <row r="94" spans="2:11">
      <c r="B94" s="317" t="s">
        <v>192</v>
      </c>
      <c r="D94" s="318">
        <v>6059</v>
      </c>
      <c r="E94" s="319">
        <v>160</v>
      </c>
      <c r="F94" s="320">
        <v>0</v>
      </c>
    </row>
    <row r="95" spans="2:11">
      <c r="B95" s="317" t="s">
        <v>193</v>
      </c>
      <c r="D95" s="318">
        <v>6060</v>
      </c>
      <c r="E95" s="319">
        <v>120</v>
      </c>
      <c r="F95" s="320">
        <v>0</v>
      </c>
    </row>
    <row r="96" spans="2:11">
      <c r="B96" s="317" t="s">
        <v>194</v>
      </c>
      <c r="D96" s="318">
        <v>6270</v>
      </c>
      <c r="E96" s="319">
        <v>87</v>
      </c>
      <c r="F96" s="320">
        <v>0</v>
      </c>
    </row>
    <row r="97" spans="2:11">
      <c r="B97" s="317" t="s">
        <v>195</v>
      </c>
      <c r="D97" s="318">
        <v>6290</v>
      </c>
      <c r="E97" s="319">
        <v>150</v>
      </c>
      <c r="F97" s="320">
        <v>0</v>
      </c>
    </row>
    <row r="98" spans="2:11">
      <c r="B98" s="317" t="s">
        <v>86</v>
      </c>
      <c r="D98" s="318">
        <v>6170</v>
      </c>
      <c r="E98" s="319">
        <v>50.4</v>
      </c>
      <c r="F98" s="320">
        <v>0</v>
      </c>
    </row>
    <row r="99" spans="2:11">
      <c r="B99" s="339" t="s">
        <v>146</v>
      </c>
      <c r="D99" s="318"/>
      <c r="E99" s="319"/>
      <c r="F99" s="320"/>
    </row>
    <row r="100" spans="2:11" ht="13.5">
      <c r="B100" s="328">
        <v>10</v>
      </c>
      <c r="C100" s="347"/>
      <c r="D100" s="348"/>
      <c r="E100" s="331">
        <f>SUM(E101:E103)</f>
        <v>254.02999999999997</v>
      </c>
      <c r="F100" s="332"/>
    </row>
    <row r="101" spans="2:11">
      <c r="B101" s="317" t="s">
        <v>191</v>
      </c>
      <c r="D101" s="318">
        <v>6263</v>
      </c>
      <c r="E101" s="319">
        <v>222.17</v>
      </c>
      <c r="F101" s="320">
        <v>0</v>
      </c>
    </row>
    <row r="102" spans="2:11">
      <c r="B102" s="317" t="s">
        <v>14</v>
      </c>
      <c r="D102" s="318">
        <v>6261</v>
      </c>
      <c r="E102" s="319">
        <v>31.86</v>
      </c>
      <c r="F102" s="320">
        <v>2</v>
      </c>
    </row>
    <row r="103" spans="2:11">
      <c r="B103" s="338" t="s">
        <v>146</v>
      </c>
      <c r="C103" s="325"/>
      <c r="D103" s="326"/>
      <c r="E103" s="327"/>
      <c r="F103" s="336"/>
    </row>
    <row r="104" spans="2:11">
      <c r="K104" s="349"/>
    </row>
    <row r="105" spans="2:11">
      <c r="K105" s="349"/>
    </row>
    <row r="106" spans="2:11">
      <c r="K106" s="349"/>
    </row>
    <row r="107" spans="2:11">
      <c r="K107" s="349"/>
    </row>
    <row r="108" spans="2:11">
      <c r="K108" s="349"/>
    </row>
    <row r="109" spans="2:11">
      <c r="K109" s="349"/>
    </row>
    <row r="110" spans="2:11">
      <c r="K110" s="349"/>
    </row>
    <row r="111" spans="2:11">
      <c r="K111" s="349"/>
    </row>
    <row r="112" spans="2:11">
      <c r="K112" s="349"/>
    </row>
    <row r="113" spans="11:11">
      <c r="K113" s="349"/>
    </row>
    <row r="114" spans="11:11">
      <c r="K114" s="349"/>
    </row>
    <row r="115" spans="11:11">
      <c r="K115" s="349"/>
    </row>
    <row r="116" spans="11:11">
      <c r="K116" s="349"/>
    </row>
    <row r="117" spans="11:11">
      <c r="K117" s="349"/>
    </row>
    <row r="118" spans="11:11">
      <c r="K118" s="349"/>
    </row>
    <row r="119" spans="11:11">
      <c r="K119" s="349"/>
    </row>
    <row r="120" spans="11:11">
      <c r="K120" s="349"/>
    </row>
    <row r="121" spans="11:11">
      <c r="K121" s="349"/>
    </row>
    <row r="122" spans="11:11">
      <c r="K122" s="349"/>
    </row>
    <row r="123" spans="11:11">
      <c r="K123" s="349"/>
    </row>
    <row r="124" spans="11:11">
      <c r="K124" s="349"/>
    </row>
    <row r="125" spans="11:11">
      <c r="K125" s="349"/>
    </row>
    <row r="126" spans="11:11">
      <c r="K126" s="349"/>
    </row>
    <row r="127" spans="11:11">
      <c r="K127" s="349"/>
    </row>
    <row r="128" spans="11:11">
      <c r="K128" s="349"/>
    </row>
    <row r="129" spans="11:11">
      <c r="K129" s="349"/>
    </row>
    <row r="130" spans="11:11">
      <c r="K130" s="349"/>
    </row>
    <row r="131" spans="11:11">
      <c r="K131" s="349"/>
    </row>
    <row r="132" spans="11:11">
      <c r="K132" s="349"/>
    </row>
    <row r="133" spans="11:11">
      <c r="K133" s="349"/>
    </row>
    <row r="134" spans="11:11">
      <c r="K134" s="349"/>
    </row>
    <row r="135" spans="11:11">
      <c r="K135" s="349"/>
    </row>
    <row r="136" spans="11:11">
      <c r="K136" s="349"/>
    </row>
    <row r="137" spans="11:11">
      <c r="K137" s="349"/>
    </row>
    <row r="138" spans="11:11">
      <c r="K138" s="349"/>
    </row>
    <row r="139" spans="11:11">
      <c r="K139" s="349"/>
    </row>
    <row r="140" spans="11:11">
      <c r="K140" s="349"/>
    </row>
    <row r="141" spans="11:11">
      <c r="K141" s="349"/>
    </row>
    <row r="142" spans="11:11">
      <c r="K142" s="349"/>
    </row>
    <row r="143" spans="11:11">
      <c r="K143" s="349"/>
    </row>
    <row r="144" spans="11:11">
      <c r="K144" s="349"/>
    </row>
    <row r="145" spans="11:11">
      <c r="K145" s="349"/>
    </row>
    <row r="146" spans="11:11">
      <c r="K146" s="349"/>
    </row>
    <row r="147" spans="11:11">
      <c r="K147" s="349"/>
    </row>
    <row r="148" spans="11:11">
      <c r="K148" s="349"/>
    </row>
    <row r="149" spans="11:11">
      <c r="K149" s="349"/>
    </row>
    <row r="150" spans="11:11">
      <c r="K150" s="349"/>
    </row>
    <row r="151" spans="11:11">
      <c r="K151" s="349"/>
    </row>
    <row r="152" spans="11:11">
      <c r="K152" s="349"/>
    </row>
    <row r="153" spans="11:11">
      <c r="K153" s="349"/>
    </row>
    <row r="154" spans="11:11">
      <c r="K154" s="349"/>
    </row>
    <row r="155" spans="11:11">
      <c r="K155" s="349"/>
    </row>
    <row r="156" spans="11:11">
      <c r="K156" s="349"/>
    </row>
    <row r="157" spans="11:11">
      <c r="K157" s="349"/>
    </row>
    <row r="158" spans="11:11">
      <c r="K158" s="349"/>
    </row>
    <row r="159" spans="11:11">
      <c r="K159" s="349"/>
    </row>
    <row r="160" spans="11:11">
      <c r="K160" s="349"/>
    </row>
    <row r="161" spans="11:11">
      <c r="K161" s="349"/>
    </row>
    <row r="162" spans="11:11">
      <c r="K162" s="349"/>
    </row>
    <row r="163" spans="11:11">
      <c r="K163" s="349"/>
    </row>
    <row r="164" spans="11:11">
      <c r="K164" s="349"/>
    </row>
    <row r="165" spans="11:11">
      <c r="K165" s="349"/>
    </row>
    <row r="166" spans="11:11">
      <c r="K166" s="349"/>
    </row>
    <row r="167" spans="11:11">
      <c r="K167" s="349"/>
    </row>
    <row r="168" spans="11:11">
      <c r="K168" s="349"/>
    </row>
    <row r="169" spans="11:11">
      <c r="K169" s="349"/>
    </row>
    <row r="170" spans="11:11">
      <c r="K170" s="349"/>
    </row>
    <row r="171" spans="11:11">
      <c r="K171" s="349"/>
    </row>
    <row r="172" spans="11:11">
      <c r="K172" s="349"/>
    </row>
    <row r="173" spans="11:11">
      <c r="K173" s="349"/>
    </row>
    <row r="174" spans="11:11">
      <c r="K174" s="349"/>
    </row>
    <row r="175" spans="11:11">
      <c r="K175" s="349"/>
    </row>
    <row r="176" spans="11:11">
      <c r="K176" s="349"/>
    </row>
    <row r="177" spans="5:11">
      <c r="K177" s="349"/>
    </row>
    <row r="178" spans="5:11">
      <c r="K178" s="349"/>
    </row>
    <row r="179" spans="5:11">
      <c r="K179" s="349"/>
    </row>
    <row r="180" spans="5:11">
      <c r="K180" s="349"/>
    </row>
    <row r="181" spans="5:11">
      <c r="K181" s="349"/>
    </row>
    <row r="182" spans="5:11">
      <c r="K182" s="349"/>
    </row>
    <row r="183" spans="5:11">
      <c r="K183" s="349"/>
    </row>
    <row r="184" spans="5:11">
      <c r="K184" s="349"/>
    </row>
    <row r="185" spans="5:11">
      <c r="K185" s="349"/>
    </row>
    <row r="186" spans="5:11">
      <c r="K186" s="349"/>
    </row>
    <row r="187" spans="5:11">
      <c r="K187" s="349"/>
    </row>
    <row r="189" spans="5:11">
      <c r="E189" s="349"/>
    </row>
    <row r="190" spans="5:11">
      <c r="E190" s="349"/>
    </row>
    <row r="191" spans="5:11">
      <c r="E191" s="349"/>
    </row>
    <row r="192" spans="5:11">
      <c r="E192" s="349"/>
    </row>
    <row r="193" spans="5:11">
      <c r="E193" s="349"/>
    </row>
    <row r="194" spans="5:11">
      <c r="E194" s="349"/>
    </row>
    <row r="195" spans="5:11">
      <c r="E195" s="349"/>
    </row>
    <row r="196" spans="5:11">
      <c r="E196" s="349"/>
    </row>
    <row r="197" spans="5:11">
      <c r="E197" s="349"/>
    </row>
    <row r="198" spans="5:11">
      <c r="E198" s="349"/>
    </row>
    <row r="199" spans="5:11">
      <c r="E199" s="349"/>
    </row>
    <row r="200" spans="5:11">
      <c r="E200" s="349"/>
    </row>
    <row r="201" spans="5:11">
      <c r="E201" s="349"/>
    </row>
    <row r="202" spans="5:11">
      <c r="E202" s="349"/>
    </row>
    <row r="203" spans="5:11">
      <c r="E203" s="349"/>
    </row>
    <row r="204" spans="5:11">
      <c r="E204" s="349"/>
    </row>
    <row r="205" spans="5:11">
      <c r="E205" s="349"/>
    </row>
    <row r="206" spans="5:11">
      <c r="E206" s="349"/>
    </row>
    <row r="207" spans="5:11">
      <c r="E207" s="349"/>
      <c r="K207" s="349"/>
    </row>
    <row r="208" spans="5:11">
      <c r="E208" s="349"/>
      <c r="K208" s="349"/>
    </row>
    <row r="209" spans="5:11">
      <c r="E209" s="349"/>
      <c r="K209" s="349"/>
    </row>
    <row r="210" spans="5:11">
      <c r="E210" s="349"/>
      <c r="K210" s="349"/>
    </row>
    <row r="211" spans="5:11">
      <c r="E211" s="349"/>
      <c r="K211" s="349"/>
    </row>
    <row r="212" spans="5:11">
      <c r="E212" s="349"/>
      <c r="K212" s="349"/>
    </row>
    <row r="213" spans="5:11">
      <c r="E213" s="349"/>
      <c r="K213" s="349"/>
    </row>
    <row r="214" spans="5:11">
      <c r="E214" s="349"/>
      <c r="K214" s="349"/>
    </row>
    <row r="215" spans="5:11">
      <c r="E215" s="349"/>
      <c r="K215" s="349"/>
    </row>
    <row r="216" spans="5:11">
      <c r="E216" s="349"/>
      <c r="K216" s="349"/>
    </row>
    <row r="217" spans="5:11">
      <c r="E217" s="349"/>
      <c r="K217" s="349"/>
    </row>
    <row r="218" spans="5:11">
      <c r="E218" s="349"/>
      <c r="K218" s="349"/>
    </row>
    <row r="219" spans="5:11">
      <c r="E219" s="349"/>
      <c r="K219" s="349"/>
    </row>
    <row r="220" spans="5:11">
      <c r="E220" s="349"/>
      <c r="K220" s="349"/>
    </row>
    <row r="221" spans="5:11">
      <c r="E221" s="349"/>
      <c r="K221" s="349"/>
    </row>
    <row r="222" spans="5:11">
      <c r="E222" s="349"/>
      <c r="K222" s="349"/>
    </row>
    <row r="223" spans="5:11">
      <c r="E223" s="349"/>
      <c r="K223" s="349"/>
    </row>
    <row r="224" spans="5:11">
      <c r="E224" s="349"/>
      <c r="K224" s="349"/>
    </row>
    <row r="225" spans="5:11">
      <c r="E225" s="349"/>
      <c r="K225" s="349"/>
    </row>
    <row r="226" spans="5:11">
      <c r="E226" s="349"/>
      <c r="K226" s="349"/>
    </row>
    <row r="227" spans="5:11">
      <c r="E227" s="349"/>
      <c r="K227" s="349"/>
    </row>
    <row r="228" spans="5:11">
      <c r="E228" s="349"/>
      <c r="K228" s="349"/>
    </row>
    <row r="229" spans="5:11">
      <c r="E229" s="349"/>
      <c r="K229" s="349"/>
    </row>
    <row r="230" spans="5:11">
      <c r="E230" s="349"/>
      <c r="K230" s="349"/>
    </row>
    <row r="231" spans="5:11">
      <c r="E231" s="349"/>
      <c r="K231" s="349"/>
    </row>
    <row r="232" spans="5:11">
      <c r="E232" s="349"/>
      <c r="K232" s="349"/>
    </row>
    <row r="233" spans="5:11">
      <c r="E233" s="349"/>
      <c r="K233" s="349"/>
    </row>
    <row r="234" spans="5:11">
      <c r="E234" s="349"/>
      <c r="K234" s="349"/>
    </row>
    <row r="235" spans="5:11">
      <c r="E235" s="349"/>
      <c r="K235" s="349"/>
    </row>
    <row r="236" spans="5:11">
      <c r="E236" s="349"/>
      <c r="K236" s="349"/>
    </row>
    <row r="237" spans="5:11">
      <c r="E237" s="349"/>
      <c r="K237" s="349"/>
    </row>
    <row r="238" spans="5:11">
      <c r="E238" s="349"/>
      <c r="K238" s="349"/>
    </row>
    <row r="239" spans="5:11">
      <c r="E239" s="349"/>
      <c r="K239" s="349"/>
    </row>
    <row r="240" spans="5:11">
      <c r="E240" s="349"/>
      <c r="K240" s="349"/>
    </row>
    <row r="241" spans="5:11">
      <c r="E241" s="349"/>
      <c r="K241" s="349"/>
    </row>
    <row r="242" spans="5:11">
      <c r="E242" s="349"/>
      <c r="K242" s="349"/>
    </row>
    <row r="243" spans="5:11">
      <c r="E243" s="349"/>
      <c r="K243" s="349"/>
    </row>
    <row r="244" spans="5:11">
      <c r="E244" s="349"/>
      <c r="K244" s="349"/>
    </row>
    <row r="245" spans="5:11">
      <c r="E245" s="349"/>
      <c r="K245" s="349"/>
    </row>
    <row r="246" spans="5:11">
      <c r="E246" s="349"/>
      <c r="K246" s="349"/>
    </row>
    <row r="247" spans="5:11">
      <c r="E247" s="349"/>
      <c r="K247" s="349"/>
    </row>
    <row r="248" spans="5:11">
      <c r="E248" s="349"/>
      <c r="K248" s="349"/>
    </row>
    <row r="249" spans="5:11">
      <c r="E249" s="349"/>
      <c r="K249" s="349"/>
    </row>
    <row r="250" spans="5:11">
      <c r="E250" s="349"/>
      <c r="K250" s="349"/>
    </row>
    <row r="251" spans="5:11">
      <c r="E251" s="349"/>
      <c r="K251" s="349"/>
    </row>
    <row r="252" spans="5:11">
      <c r="E252" s="349"/>
      <c r="K252" s="349"/>
    </row>
    <row r="253" spans="5:11">
      <c r="E253" s="349"/>
      <c r="K253" s="349"/>
    </row>
    <row r="254" spans="5:11">
      <c r="E254" s="349"/>
      <c r="K254" s="349"/>
    </row>
    <row r="255" spans="5:11">
      <c r="E255" s="349"/>
      <c r="K255" s="349"/>
    </row>
    <row r="256" spans="5:11">
      <c r="E256" s="349"/>
      <c r="K256" s="349"/>
    </row>
    <row r="257" spans="5:11">
      <c r="E257" s="349"/>
      <c r="K257" s="349"/>
    </row>
    <row r="258" spans="5:11">
      <c r="E258" s="349"/>
      <c r="K258" s="349"/>
    </row>
    <row r="259" spans="5:11">
      <c r="E259" s="349"/>
      <c r="K259" s="349"/>
    </row>
    <row r="260" spans="5:11">
      <c r="E260" s="349"/>
      <c r="K260" s="349"/>
    </row>
    <row r="261" spans="5:11">
      <c r="E261" s="349"/>
      <c r="K261" s="349"/>
    </row>
    <row r="262" spans="5:11">
      <c r="E262" s="349"/>
      <c r="K262" s="349"/>
    </row>
    <row r="263" spans="5:11">
      <c r="E263" s="349"/>
      <c r="K263" s="349"/>
    </row>
    <row r="264" spans="5:11">
      <c r="E264" s="349"/>
      <c r="K264" s="349"/>
    </row>
    <row r="265" spans="5:11">
      <c r="E265" s="349"/>
      <c r="K265" s="349"/>
    </row>
    <row r="266" spans="5:11">
      <c r="E266" s="349"/>
      <c r="K266" s="349"/>
    </row>
    <row r="267" spans="5:11">
      <c r="E267" s="349"/>
      <c r="K267" s="349"/>
    </row>
    <row r="268" spans="5:11">
      <c r="E268" s="349"/>
      <c r="K268" s="349"/>
    </row>
    <row r="269" spans="5:11">
      <c r="E269" s="349"/>
      <c r="K269" s="349"/>
    </row>
    <row r="270" spans="5:11">
      <c r="E270" s="349"/>
      <c r="K270" s="349"/>
    </row>
    <row r="271" spans="5:11">
      <c r="E271" s="349"/>
      <c r="K271" s="349"/>
    </row>
    <row r="272" spans="5:11">
      <c r="E272" s="349"/>
      <c r="K272" s="349"/>
    </row>
    <row r="273" spans="5:11">
      <c r="E273" s="349"/>
      <c r="K273" s="349"/>
    </row>
    <row r="274" spans="5:11">
      <c r="E274" s="349"/>
      <c r="K274" s="349"/>
    </row>
    <row r="275" spans="5:11">
      <c r="E275" s="349"/>
      <c r="K275" s="349"/>
    </row>
    <row r="276" spans="5:11">
      <c r="E276" s="349"/>
      <c r="K276" s="349"/>
    </row>
    <row r="277" spans="5:11">
      <c r="E277" s="349"/>
      <c r="K277" s="349"/>
    </row>
    <row r="278" spans="5:11">
      <c r="E278" s="349"/>
      <c r="K278" s="349"/>
    </row>
    <row r="279" spans="5:11">
      <c r="E279" s="349"/>
      <c r="K279" s="349"/>
    </row>
    <row r="280" spans="5:11">
      <c r="E280" s="349"/>
      <c r="K280" s="349"/>
    </row>
    <row r="281" spans="5:11">
      <c r="E281" s="349"/>
      <c r="K281" s="349"/>
    </row>
    <row r="282" spans="5:11">
      <c r="E282" s="349"/>
      <c r="K282" s="349"/>
    </row>
  </sheetData>
  <conditionalFormatting sqref="C14:M15 K94:K97 E99 K102:K187">
    <cfRule type="cellIs" dxfId="36" priority="4" operator="equal">
      <formula>0</formula>
    </cfRule>
  </conditionalFormatting>
  <conditionalFormatting sqref="E189:E282 K207:K282">
    <cfRule type="cellIs" dxfId="35" priority="8" operator="equal">
      <formula>0</formula>
    </cfRule>
  </conditionalFormatting>
  <conditionalFormatting sqref="E21:F22 E26:F31 E33:F66 E68:F92 E94:F98 E101:F103">
    <cfRule type="cellIs" dxfId="34" priority="3" operator="equal">
      <formula>0</formula>
    </cfRule>
  </conditionalFormatting>
  <conditionalFormatting sqref="K21:K23 K28:K29 K32:K35">
    <cfRule type="cellIs" dxfId="33" priority="2" operator="equal">
      <formula>0</formula>
    </cfRule>
  </conditionalFormatting>
  <conditionalFormatting sqref="K37:K65 K67:K81">
    <cfRule type="cellIs" dxfId="32" priority="1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3:N281"/>
  <sheetViews>
    <sheetView showGridLines="0" workbookViewId="0">
      <selection activeCell="A11" sqref="A11:N15"/>
    </sheetView>
  </sheetViews>
  <sheetFormatPr baseColWidth="10" defaultColWidth="11.453125" defaultRowHeight="13"/>
  <cols>
    <col min="1" max="1" width="11.453125" style="260"/>
    <col min="2" max="2" width="13.453125" style="260" customWidth="1"/>
    <col min="3" max="12" width="11.453125" style="260"/>
    <col min="13" max="13" width="12" style="260" customWidth="1"/>
    <col min="14" max="16384" width="11.453125" style="260"/>
  </cols>
  <sheetData>
    <row r="3" spans="2:14" ht="14">
      <c r="B3" s="258" t="s">
        <v>123</v>
      </c>
      <c r="C3" s="259">
        <v>1</v>
      </c>
      <c r="D3" s="259" t="s">
        <v>124</v>
      </c>
    </row>
    <row r="4" spans="2:14">
      <c r="B4" s="261"/>
      <c r="C4" s="262" t="s">
        <v>125</v>
      </c>
      <c r="D4" s="263"/>
      <c r="E4" s="264" t="s">
        <v>126</v>
      </c>
      <c r="F4" s="265"/>
      <c r="G4" s="266" t="s">
        <v>127</v>
      </c>
    </row>
    <row r="5" spans="2:14" ht="13.5">
      <c r="B5" s="267" t="s">
        <v>128</v>
      </c>
      <c r="C5" s="268">
        <v>22839.870851094805</v>
      </c>
      <c r="D5" s="269">
        <f>C5/$C$5</f>
        <v>1</v>
      </c>
      <c r="E5" s="270" t="e">
        <f>SUM(E6:E7)</f>
        <v>#VALUE!</v>
      </c>
      <c r="F5" s="269" t="e">
        <f>E5/$D$3</f>
        <v>#VALUE!</v>
      </c>
      <c r="G5" s="271" t="s">
        <v>129</v>
      </c>
      <c r="I5" s="272" t="s">
        <v>130</v>
      </c>
      <c r="J5" s="87">
        <v>0.7</v>
      </c>
      <c r="K5" s="273">
        <f>J5*C5</f>
        <v>15987.909595766363</v>
      </c>
    </row>
    <row r="6" spans="2:14">
      <c r="B6" s="274" t="s">
        <v>110</v>
      </c>
      <c r="C6" s="275">
        <f>0.85617724*C5</f>
        <v>19554.977587246802</v>
      </c>
      <c r="D6" s="276">
        <f t="shared" ref="D6:D7" si="0">C6/$C$5</f>
        <v>0.85617724000000006</v>
      </c>
      <c r="E6" s="277" t="e">
        <f>SUMIFS([18]Ram!H4:H1002,[18]Ram!D4:D1002,230,[18]Ram!G4:G1002,"S")</f>
        <v>#VALUE!</v>
      </c>
      <c r="F6" s="88" t="e">
        <f>E6/$D$3</f>
        <v>#VALUE!</v>
      </c>
      <c r="G6" s="278" t="e">
        <f>C6/E6</f>
        <v>#VALUE!</v>
      </c>
      <c r="I6" s="272" t="s">
        <v>131</v>
      </c>
      <c r="J6" s="87">
        <v>0.3</v>
      </c>
      <c r="K6" s="273">
        <f>J6*C5</f>
        <v>6851.9612553284414</v>
      </c>
    </row>
    <row r="7" spans="2:14">
      <c r="B7" s="279" t="s">
        <v>132</v>
      </c>
      <c r="C7" s="280">
        <f>0.14382276*C5</f>
        <v>3284.8932638480037</v>
      </c>
      <c r="D7" s="89">
        <f t="shared" si="0"/>
        <v>0.14382275999999999</v>
      </c>
      <c r="E7" s="281" t="e">
        <f>SUMIFS([18]Ram!H4:H1002,[18]Ram!D4:D1002,115,[18]Ram!G4:G1002,"S")</f>
        <v>#VALUE!</v>
      </c>
      <c r="F7" s="89" t="e">
        <f>E7/$D$3</f>
        <v>#VALUE!</v>
      </c>
      <c r="G7" s="282" t="e">
        <f>C7/E7</f>
        <v>#VALUE!</v>
      </c>
    </row>
    <row r="8" spans="2:14">
      <c r="B8" s="283"/>
      <c r="C8" s="283"/>
      <c r="D8" s="284"/>
      <c r="F8" s="284"/>
      <c r="I8" s="285" t="s">
        <v>226</v>
      </c>
      <c r="N8" s="286">
        <v>8243.9069590642612</v>
      </c>
    </row>
    <row r="9" spans="2:14" ht="13.5">
      <c r="B9" s="287" t="s">
        <v>133</v>
      </c>
      <c r="C9" s="268">
        <v>0</v>
      </c>
      <c r="D9" s="269">
        <v>1</v>
      </c>
      <c r="E9" s="270" t="e">
        <f>SUMIFS([18]Ram!H4:H1002,[18]Ram!D4:D1002,230,[18]Ram!G4:G1002,"SD")</f>
        <v>#VALUE!</v>
      </c>
      <c r="F9" s="269">
        <v>1</v>
      </c>
      <c r="G9" s="288">
        <f>IF(C9&gt;0,C9/E9,0)</f>
        <v>0</v>
      </c>
      <c r="H9" s="260" t="s">
        <v>134</v>
      </c>
    </row>
    <row r="11" spans="2:14" ht="15.75" customHeight="1">
      <c r="B11" s="289" t="s">
        <v>264</v>
      </c>
    </row>
    <row r="12" spans="2:14">
      <c r="B12" s="290" t="s">
        <v>135</v>
      </c>
      <c r="C12" s="291" t="s">
        <v>16</v>
      </c>
      <c r="D12" s="292" t="s">
        <v>17</v>
      </c>
      <c r="E12" s="292" t="s">
        <v>18</v>
      </c>
      <c r="F12" s="292" t="s">
        <v>19</v>
      </c>
      <c r="G12" s="292" t="s">
        <v>20</v>
      </c>
      <c r="H12" s="292" t="s">
        <v>21</v>
      </c>
      <c r="I12" s="292" t="s">
        <v>22</v>
      </c>
      <c r="J12" s="292" t="s">
        <v>23</v>
      </c>
      <c r="K12" s="292" t="s">
        <v>24</v>
      </c>
      <c r="L12" s="293" t="s">
        <v>25</v>
      </c>
      <c r="M12" s="294" t="s">
        <v>15</v>
      </c>
    </row>
    <row r="13" spans="2:14">
      <c r="B13" s="295" t="s">
        <v>136</v>
      </c>
      <c r="C13" s="296">
        <f>E19</f>
        <v>154.19999999999999</v>
      </c>
      <c r="D13" s="296">
        <f>E24</f>
        <v>537.77</v>
      </c>
      <c r="E13" s="296">
        <f>E31</f>
        <v>155.07</v>
      </c>
      <c r="F13" s="296">
        <f>E39</f>
        <v>188.73000000000002</v>
      </c>
      <c r="G13" s="296">
        <f>E55</f>
        <v>243.9</v>
      </c>
      <c r="H13" s="296">
        <f>E66</f>
        <v>105.8</v>
      </c>
      <c r="I13" s="296">
        <f>E71</f>
        <v>288.43</v>
      </c>
      <c r="J13" s="296">
        <f>E77</f>
        <v>260</v>
      </c>
      <c r="K13" s="296">
        <f>E80</f>
        <v>567.4</v>
      </c>
      <c r="L13" s="296">
        <f>E87</f>
        <v>222.17</v>
      </c>
      <c r="M13" s="297">
        <f>SUM(C13:L13)</f>
        <v>2723.4700000000003</v>
      </c>
      <c r="N13" s="298">
        <f>SUM(E19:E104)-E19-E24-E31-E39-E55-E66-E71-E77-E80-E87</f>
        <v>2723.4700000000021</v>
      </c>
    </row>
    <row r="14" spans="2:14">
      <c r="B14" s="299" t="s">
        <v>137</v>
      </c>
      <c r="C14" s="300">
        <f>K19</f>
        <v>26.09</v>
      </c>
      <c r="D14" s="300">
        <f>K24</f>
        <v>0</v>
      </c>
      <c r="E14" s="300">
        <f>K26</f>
        <v>7.0000000000000007E-2</v>
      </c>
      <c r="F14" s="300">
        <f>K30</f>
        <v>83.55</v>
      </c>
      <c r="G14" s="300">
        <f>K35</f>
        <v>163.54999999999998</v>
      </c>
      <c r="H14" s="300">
        <f>K42</f>
        <v>113.53</v>
      </c>
      <c r="I14" s="300">
        <f>K48</f>
        <v>967.75</v>
      </c>
      <c r="J14" s="300">
        <f>K62</f>
        <v>1.52</v>
      </c>
      <c r="K14" s="300">
        <f>K66</f>
        <v>162.72999999999999</v>
      </c>
      <c r="L14" s="300">
        <f>K72</f>
        <v>38.5</v>
      </c>
      <c r="M14" s="301">
        <f>SUM(C14:L14)</f>
        <v>1557.29</v>
      </c>
      <c r="N14" s="298">
        <f>SUM(K19:K104)-K19-K24-K26-K30-K35-K42-K48-K62-K66-K72</f>
        <v>1557.2899999999986</v>
      </c>
    </row>
    <row r="17" spans="2:13">
      <c r="B17" s="289" t="s">
        <v>138</v>
      </c>
      <c r="C17" s="302"/>
      <c r="D17" s="302"/>
      <c r="E17" s="302"/>
      <c r="F17" s="302"/>
      <c r="G17" s="302"/>
      <c r="H17" s="303" t="s">
        <v>139</v>
      </c>
      <c r="I17" s="302"/>
      <c r="J17" s="302"/>
      <c r="K17" s="302"/>
      <c r="L17" s="302"/>
      <c r="M17" s="302"/>
    </row>
    <row r="18" spans="2:13" ht="26">
      <c r="B18" s="304" t="s">
        <v>140</v>
      </c>
      <c r="C18" s="305"/>
      <c r="D18" s="306" t="s">
        <v>141</v>
      </c>
      <c r="E18" s="307" t="s">
        <v>136</v>
      </c>
      <c r="F18" s="307" t="s">
        <v>142</v>
      </c>
      <c r="H18" s="308" t="s">
        <v>140</v>
      </c>
      <c r="I18" s="309"/>
      <c r="J18" s="310" t="s">
        <v>141</v>
      </c>
      <c r="K18" s="311" t="s">
        <v>137</v>
      </c>
    </row>
    <row r="19" spans="2:13" ht="13.5">
      <c r="B19" s="312">
        <v>1</v>
      </c>
      <c r="C19" s="313"/>
      <c r="D19" s="314"/>
      <c r="E19" s="315">
        <f>SUM(E20:E23)</f>
        <v>154.19999999999999</v>
      </c>
      <c r="F19" s="316"/>
      <c r="H19" s="312">
        <v>1</v>
      </c>
      <c r="I19" s="313"/>
      <c r="J19" s="314"/>
      <c r="K19" s="315">
        <f>SUM(K20:K22)</f>
        <v>26.09</v>
      </c>
    </row>
    <row r="20" spans="2:13" ht="13.5">
      <c r="B20" s="317" t="s">
        <v>79</v>
      </c>
      <c r="D20" s="318">
        <v>6330</v>
      </c>
      <c r="E20" s="319">
        <v>88.2</v>
      </c>
      <c r="F20" s="320">
        <v>0</v>
      </c>
      <c r="H20" s="321" t="s">
        <v>87</v>
      </c>
      <c r="J20" s="318"/>
      <c r="K20" s="319"/>
    </row>
    <row r="21" spans="2:13">
      <c r="B21" s="317" t="s">
        <v>27</v>
      </c>
      <c r="D21" s="318">
        <v>6332</v>
      </c>
      <c r="E21" s="319">
        <v>56</v>
      </c>
      <c r="F21" s="320">
        <v>0</v>
      </c>
      <c r="H21" s="317" t="s">
        <v>143</v>
      </c>
      <c r="J21" s="318">
        <v>6014</v>
      </c>
      <c r="K21" s="319">
        <v>25.3</v>
      </c>
    </row>
    <row r="22" spans="2:13">
      <c r="B22" s="317" t="s">
        <v>144</v>
      </c>
      <c r="D22" s="318">
        <v>6730</v>
      </c>
      <c r="E22" s="322">
        <v>10</v>
      </c>
      <c r="F22" s="320">
        <v>9</v>
      </c>
      <c r="H22" s="317" t="s">
        <v>145</v>
      </c>
      <c r="J22" s="318">
        <v>6014</v>
      </c>
      <c r="K22" s="319">
        <v>0.79</v>
      </c>
    </row>
    <row r="23" spans="2:13">
      <c r="B23" s="323" t="s">
        <v>146</v>
      </c>
      <c r="D23" s="318"/>
      <c r="E23" s="322"/>
      <c r="F23" s="320"/>
      <c r="H23" s="324" t="s">
        <v>146</v>
      </c>
      <c r="I23" s="325"/>
      <c r="J23" s="326"/>
      <c r="K23" s="327"/>
    </row>
    <row r="24" spans="2:13" ht="13.5">
      <c r="B24" s="328">
        <v>2</v>
      </c>
      <c r="C24" s="329"/>
      <c r="D24" s="330"/>
      <c r="E24" s="331">
        <f>SUM(E25:E29)</f>
        <v>537.77</v>
      </c>
      <c r="F24" s="332"/>
      <c r="H24" s="328">
        <v>2</v>
      </c>
      <c r="I24" s="329"/>
      <c r="J24" s="330"/>
      <c r="K24" s="331">
        <f>SUM(K25)</f>
        <v>0</v>
      </c>
    </row>
    <row r="25" spans="2:13">
      <c r="B25" s="317" t="s">
        <v>28</v>
      </c>
      <c r="D25" s="318">
        <v>6096</v>
      </c>
      <c r="E25" s="319">
        <v>300</v>
      </c>
      <c r="F25" s="320">
        <v>0</v>
      </c>
      <c r="H25" s="324" t="s">
        <v>146</v>
      </c>
      <c r="I25" s="325"/>
      <c r="J25" s="326"/>
      <c r="K25" s="327"/>
    </row>
    <row r="26" spans="2:13" ht="13.5">
      <c r="B26" s="317" t="s">
        <v>29</v>
      </c>
      <c r="D26" s="318">
        <v>6178</v>
      </c>
      <c r="E26" s="319">
        <v>120</v>
      </c>
      <c r="F26" s="320">
        <v>0</v>
      </c>
      <c r="H26" s="312">
        <v>3</v>
      </c>
      <c r="I26" s="313"/>
      <c r="J26" s="314"/>
      <c r="K26" s="315">
        <f>SUM(K27:K28)</f>
        <v>7.0000000000000007E-2</v>
      </c>
    </row>
    <row r="27" spans="2:13" ht="13.5">
      <c r="B27" s="317" t="s">
        <v>72</v>
      </c>
      <c r="D27" s="318">
        <v>6360</v>
      </c>
      <c r="E27" s="319">
        <v>25.34</v>
      </c>
      <c r="F27" s="320">
        <v>0</v>
      </c>
      <c r="H27" s="321" t="s">
        <v>87</v>
      </c>
      <c r="J27" s="318"/>
      <c r="K27" s="319"/>
    </row>
    <row r="28" spans="2:13">
      <c r="B28" s="317" t="s">
        <v>73</v>
      </c>
      <c r="D28" s="318">
        <v>6363</v>
      </c>
      <c r="E28" s="319">
        <v>33.770000000000003</v>
      </c>
      <c r="F28" s="320">
        <v>0</v>
      </c>
      <c r="H28" s="317" t="s">
        <v>88</v>
      </c>
      <c r="J28" s="318">
        <v>6087</v>
      </c>
      <c r="K28" s="319">
        <v>7.0000000000000007E-2</v>
      </c>
    </row>
    <row r="29" spans="2:13">
      <c r="B29" s="317" t="s">
        <v>74</v>
      </c>
      <c r="D29" s="318">
        <v>6366</v>
      </c>
      <c r="E29" s="319">
        <v>58.66</v>
      </c>
      <c r="F29" s="320">
        <v>0</v>
      </c>
      <c r="H29" s="333" t="s">
        <v>146</v>
      </c>
      <c r="J29" s="318"/>
      <c r="K29" s="319"/>
    </row>
    <row r="30" spans="2:13" ht="13.5">
      <c r="B30" s="334" t="s">
        <v>146</v>
      </c>
      <c r="C30" s="325"/>
      <c r="D30" s="326"/>
      <c r="E30" s="335"/>
      <c r="F30" s="336"/>
      <c r="H30" s="328">
        <v>4</v>
      </c>
      <c r="I30" s="329"/>
      <c r="J30" s="330"/>
      <c r="K30" s="331">
        <f>SUM(K31:K33)</f>
        <v>83.55</v>
      </c>
    </row>
    <row r="31" spans="2:13" ht="13.5">
      <c r="B31" s="312">
        <v>3</v>
      </c>
      <c r="C31" s="313"/>
      <c r="D31" s="314"/>
      <c r="E31" s="315">
        <f>SUM(E32:E37)</f>
        <v>155.07</v>
      </c>
      <c r="F31" s="316"/>
      <c r="H31" s="321" t="s">
        <v>87</v>
      </c>
      <c r="J31" s="318"/>
      <c r="K31" s="319"/>
    </row>
    <row r="32" spans="2:13">
      <c r="B32" s="317" t="s">
        <v>147</v>
      </c>
      <c r="D32" s="318">
        <v>6088</v>
      </c>
      <c r="E32" s="319">
        <v>47.2</v>
      </c>
      <c r="F32" s="320">
        <v>0</v>
      </c>
      <c r="H32" s="317" t="s">
        <v>148</v>
      </c>
      <c r="J32" s="318">
        <v>6013</v>
      </c>
      <c r="K32" s="319">
        <v>9.34</v>
      </c>
    </row>
    <row r="33" spans="2:11">
      <c r="B33" s="317" t="s">
        <v>30</v>
      </c>
      <c r="D33" s="318">
        <v>6092</v>
      </c>
      <c r="E33" s="319">
        <v>54.76</v>
      </c>
      <c r="F33" s="320">
        <v>0</v>
      </c>
      <c r="H33" s="317" t="s">
        <v>149</v>
      </c>
      <c r="J33" s="318">
        <v>6013</v>
      </c>
      <c r="K33" s="319">
        <v>74.209999999999994</v>
      </c>
    </row>
    <row r="34" spans="2:11">
      <c r="B34" s="317" t="s">
        <v>76</v>
      </c>
      <c r="D34" s="318">
        <v>6320</v>
      </c>
      <c r="E34" s="319">
        <v>19.75</v>
      </c>
      <c r="F34" s="320">
        <v>0</v>
      </c>
      <c r="H34" s="324" t="s">
        <v>146</v>
      </c>
      <c r="I34" s="325"/>
      <c r="J34" s="326"/>
      <c r="K34" s="327"/>
    </row>
    <row r="35" spans="2:11" ht="13.5">
      <c r="B35" s="317" t="s">
        <v>75</v>
      </c>
      <c r="D35" s="318">
        <v>6630</v>
      </c>
      <c r="E35" s="319">
        <v>15.5</v>
      </c>
      <c r="F35" s="320">
        <v>0</v>
      </c>
      <c r="H35" s="312">
        <v>5</v>
      </c>
      <c r="I35" s="313"/>
      <c r="J35" s="314"/>
      <c r="K35" s="315">
        <f>SUM(K36:K40)</f>
        <v>163.54999999999998</v>
      </c>
    </row>
    <row r="36" spans="2:11" ht="13.5">
      <c r="B36" s="317" t="s">
        <v>150</v>
      </c>
      <c r="D36" s="318">
        <v>6640</v>
      </c>
      <c r="E36" s="319">
        <v>8</v>
      </c>
      <c r="F36" s="320">
        <v>0</v>
      </c>
      <c r="H36" s="321" t="s">
        <v>151</v>
      </c>
      <c r="J36" s="318"/>
      <c r="K36" s="319"/>
    </row>
    <row r="37" spans="2:11">
      <c r="B37" s="317" t="s">
        <v>152</v>
      </c>
      <c r="D37" s="318">
        <v>6310</v>
      </c>
      <c r="E37" s="319">
        <v>9.86</v>
      </c>
      <c r="F37" s="320">
        <v>0</v>
      </c>
      <c r="H37" s="317" t="s">
        <v>153</v>
      </c>
      <c r="J37" s="318">
        <v>6009</v>
      </c>
      <c r="K37" s="319">
        <v>161.6</v>
      </c>
    </row>
    <row r="38" spans="2:11" ht="13.5">
      <c r="B38" s="323" t="s">
        <v>146</v>
      </c>
      <c r="D38" s="318"/>
      <c r="E38" s="322"/>
      <c r="F38" s="320"/>
      <c r="H38" s="321" t="s">
        <v>154</v>
      </c>
      <c r="J38" s="318"/>
      <c r="K38" s="319"/>
    </row>
    <row r="39" spans="2:11" ht="13.5">
      <c r="B39" s="328">
        <v>4</v>
      </c>
      <c r="C39" s="329"/>
      <c r="D39" s="330"/>
      <c r="E39" s="331">
        <f>SUM(E40:E53)</f>
        <v>188.73000000000002</v>
      </c>
      <c r="F39" s="332"/>
      <c r="H39" s="317" t="s">
        <v>155</v>
      </c>
      <c r="J39" s="318">
        <v>6009</v>
      </c>
      <c r="K39" s="319">
        <v>1.1299999999999999</v>
      </c>
    </row>
    <row r="40" spans="2:11">
      <c r="B40" s="317" t="s">
        <v>78</v>
      </c>
      <c r="D40" s="318">
        <v>6529</v>
      </c>
      <c r="E40" s="319">
        <v>10</v>
      </c>
      <c r="F40" s="320">
        <v>0</v>
      </c>
      <c r="H40" s="317" t="s">
        <v>156</v>
      </c>
      <c r="J40" s="318">
        <v>6009</v>
      </c>
      <c r="K40" s="319">
        <v>0.82</v>
      </c>
    </row>
    <row r="41" spans="2:11">
      <c r="B41" s="317" t="s">
        <v>157</v>
      </c>
      <c r="D41" s="318">
        <v>6509</v>
      </c>
      <c r="E41" s="319">
        <v>3.5</v>
      </c>
      <c r="F41" s="320">
        <v>0</v>
      </c>
      <c r="H41" s="333" t="s">
        <v>146</v>
      </c>
      <c r="J41" s="318"/>
      <c r="K41" s="319"/>
    </row>
    <row r="42" spans="2:11" ht="13.5">
      <c r="B42" s="317" t="s">
        <v>84</v>
      </c>
      <c r="D42" s="318">
        <v>6013</v>
      </c>
      <c r="E42" s="319">
        <v>6.12</v>
      </c>
      <c r="F42" s="320">
        <v>0</v>
      </c>
      <c r="H42" s="328">
        <v>6</v>
      </c>
      <c r="I42" s="329"/>
      <c r="J42" s="330"/>
      <c r="K42" s="331">
        <f>SUM(K43:K46)</f>
        <v>113.53</v>
      </c>
    </row>
    <row r="43" spans="2:11" ht="13.5">
      <c r="B43" s="317" t="s">
        <v>158</v>
      </c>
      <c r="D43" s="318">
        <v>6560</v>
      </c>
      <c r="E43" s="319">
        <v>4.95</v>
      </c>
      <c r="F43" s="320">
        <v>0</v>
      </c>
      <c r="H43" s="321" t="s">
        <v>151</v>
      </c>
      <c r="J43" s="318"/>
      <c r="K43" s="319"/>
    </row>
    <row r="44" spans="2:11">
      <c r="B44" s="317" t="s">
        <v>77</v>
      </c>
      <c r="D44" s="318">
        <v>6384</v>
      </c>
      <c r="E44" s="319">
        <v>20</v>
      </c>
      <c r="F44" s="320">
        <v>0</v>
      </c>
      <c r="H44" s="317" t="s">
        <v>159</v>
      </c>
      <c r="J44" s="318">
        <v>6005</v>
      </c>
      <c r="K44" s="319">
        <v>112.3</v>
      </c>
    </row>
    <row r="45" spans="2:11" ht="13.5">
      <c r="B45" s="317" t="s">
        <v>160</v>
      </c>
      <c r="D45" s="318">
        <v>6385</v>
      </c>
      <c r="E45" s="319">
        <v>12.89</v>
      </c>
      <c r="F45" s="320">
        <v>0</v>
      </c>
      <c r="H45" s="321" t="s">
        <v>154</v>
      </c>
      <c r="J45" s="318"/>
      <c r="K45" s="319"/>
    </row>
    <row r="46" spans="2:11">
      <c r="B46" s="317" t="s">
        <v>161</v>
      </c>
      <c r="D46" s="318">
        <v>6670</v>
      </c>
      <c r="E46" s="319">
        <v>14</v>
      </c>
      <c r="F46" s="320">
        <v>0</v>
      </c>
      <c r="H46" s="317" t="s">
        <v>155</v>
      </c>
      <c r="J46" s="318">
        <v>6005</v>
      </c>
      <c r="K46" s="319">
        <v>1.23</v>
      </c>
    </row>
    <row r="47" spans="2:11">
      <c r="B47" s="317" t="s">
        <v>0</v>
      </c>
      <c r="D47" s="337" t="s">
        <v>162</v>
      </c>
      <c r="E47" s="319">
        <v>2.5</v>
      </c>
      <c r="F47" s="320">
        <v>0</v>
      </c>
      <c r="H47" s="324" t="s">
        <v>146</v>
      </c>
      <c r="I47" s="325"/>
      <c r="J47" s="326"/>
      <c r="K47" s="327"/>
    </row>
    <row r="48" spans="2:11" ht="13.5">
      <c r="B48" s="317" t="s">
        <v>1</v>
      </c>
      <c r="D48" s="337" t="s">
        <v>162</v>
      </c>
      <c r="E48" s="319">
        <v>3.12</v>
      </c>
      <c r="F48" s="320">
        <v>0</v>
      </c>
      <c r="H48" s="312">
        <v>7</v>
      </c>
      <c r="I48" s="313"/>
      <c r="J48" s="314"/>
      <c r="K48" s="315">
        <f>SUM(K49:K60)</f>
        <v>967.75</v>
      </c>
    </row>
    <row r="49" spans="2:11" ht="13.5">
      <c r="B49" s="317" t="s">
        <v>163</v>
      </c>
      <c r="D49" s="318">
        <v>6623</v>
      </c>
      <c r="E49" s="319">
        <v>10</v>
      </c>
      <c r="F49" s="320">
        <v>0</v>
      </c>
      <c r="H49" s="321" t="s">
        <v>164</v>
      </c>
      <c r="J49" s="318"/>
      <c r="K49" s="319"/>
    </row>
    <row r="50" spans="2:11">
      <c r="B50" s="317" t="s">
        <v>165</v>
      </c>
      <c r="D50" s="318">
        <v>6621</v>
      </c>
      <c r="E50" s="319">
        <v>10</v>
      </c>
      <c r="F50" s="320">
        <v>0</v>
      </c>
      <c r="H50" s="317" t="s">
        <v>166</v>
      </c>
      <c r="J50" s="318" t="s">
        <v>167</v>
      </c>
      <c r="K50" s="319">
        <v>478.69</v>
      </c>
    </row>
    <row r="51" spans="2:11" ht="13.5">
      <c r="B51" s="317" t="s">
        <v>168</v>
      </c>
      <c r="D51" s="318">
        <v>6831</v>
      </c>
      <c r="E51" s="319">
        <v>8.4</v>
      </c>
      <c r="F51" s="320">
        <v>2</v>
      </c>
      <c r="H51" s="321" t="s">
        <v>151</v>
      </c>
      <c r="J51" s="318"/>
      <c r="K51" s="319"/>
    </row>
    <row r="52" spans="2:11">
      <c r="B52" s="317" t="s">
        <v>80</v>
      </c>
      <c r="D52" s="318">
        <v>6695</v>
      </c>
      <c r="E52" s="319">
        <v>33.299999999999997</v>
      </c>
      <c r="F52" s="320">
        <v>6</v>
      </c>
      <c r="H52" s="317" t="s">
        <v>166</v>
      </c>
      <c r="J52" s="318">
        <v>6002</v>
      </c>
      <c r="K52" s="319">
        <v>450.68</v>
      </c>
    </row>
    <row r="53" spans="2:11" ht="13.5">
      <c r="B53" s="317" t="s">
        <v>81</v>
      </c>
      <c r="D53" s="318">
        <v>6698</v>
      </c>
      <c r="E53" s="319">
        <v>49.95</v>
      </c>
      <c r="F53" s="320">
        <v>6</v>
      </c>
      <c r="H53" s="321" t="s">
        <v>154</v>
      </c>
      <c r="J53" s="318"/>
      <c r="K53" s="319"/>
    </row>
    <row r="54" spans="2:11">
      <c r="B54" s="334" t="s">
        <v>146</v>
      </c>
      <c r="C54" s="325"/>
      <c r="D54" s="326"/>
      <c r="E54" s="335"/>
      <c r="F54" s="336"/>
      <c r="H54" s="317" t="s">
        <v>169</v>
      </c>
      <c r="J54" s="318">
        <v>6002</v>
      </c>
      <c r="K54" s="319">
        <v>2.84</v>
      </c>
    </row>
    <row r="55" spans="2:11" ht="13.5">
      <c r="B55" s="312">
        <v>5</v>
      </c>
      <c r="C55" s="313"/>
      <c r="D55" s="314"/>
      <c r="E55" s="315">
        <f>SUM(E56:E64)</f>
        <v>243.9</v>
      </c>
      <c r="F55" s="316"/>
      <c r="H55" s="317" t="s">
        <v>170</v>
      </c>
      <c r="J55" s="318">
        <v>6002</v>
      </c>
      <c r="K55" s="319">
        <v>24.65</v>
      </c>
    </row>
    <row r="56" spans="2:11">
      <c r="B56" s="317" t="s">
        <v>171</v>
      </c>
      <c r="D56" s="318">
        <v>6570</v>
      </c>
      <c r="E56" s="319">
        <v>5.35</v>
      </c>
      <c r="F56" s="320">
        <v>0</v>
      </c>
      <c r="H56" s="317" t="s">
        <v>89</v>
      </c>
      <c r="J56" s="318">
        <v>6002</v>
      </c>
      <c r="K56" s="319">
        <v>0.64</v>
      </c>
    </row>
    <row r="57" spans="2:11">
      <c r="B57" s="317" t="s">
        <v>172</v>
      </c>
      <c r="D57" s="318">
        <v>6600</v>
      </c>
      <c r="E57" s="319">
        <v>5.05</v>
      </c>
      <c r="F57" s="320">
        <v>7</v>
      </c>
      <c r="H57" s="317" t="s">
        <v>173</v>
      </c>
      <c r="J57" s="318">
        <v>6002</v>
      </c>
      <c r="K57" s="319">
        <v>0.93</v>
      </c>
    </row>
    <row r="58" spans="2:11">
      <c r="B58" s="317" t="s">
        <v>5</v>
      </c>
      <c r="D58" s="337" t="s">
        <v>162</v>
      </c>
      <c r="E58" s="319">
        <v>6.6</v>
      </c>
      <c r="F58" s="320">
        <v>0</v>
      </c>
      <c r="H58" s="317" t="s">
        <v>174</v>
      </c>
      <c r="J58" s="318">
        <v>6002</v>
      </c>
      <c r="K58" s="319">
        <v>1.22</v>
      </c>
    </row>
    <row r="59" spans="2:11">
      <c r="B59" s="317" t="s">
        <v>31</v>
      </c>
      <c r="D59" s="337" t="s">
        <v>162</v>
      </c>
      <c r="E59" s="319">
        <v>4.5</v>
      </c>
      <c r="F59" s="320">
        <v>0</v>
      </c>
      <c r="H59" s="317" t="s">
        <v>155</v>
      </c>
      <c r="J59" s="318">
        <v>6002</v>
      </c>
      <c r="K59" s="319">
        <v>7.16</v>
      </c>
    </row>
    <row r="60" spans="2:11">
      <c r="B60" s="317" t="s">
        <v>175</v>
      </c>
      <c r="D60" s="337" t="s">
        <v>162</v>
      </c>
      <c r="E60" s="319">
        <v>2.4</v>
      </c>
      <c r="F60" s="320">
        <v>1</v>
      </c>
      <c r="H60" s="317" t="s">
        <v>176</v>
      </c>
      <c r="J60" s="318">
        <v>6002</v>
      </c>
      <c r="K60" s="319">
        <v>0.94</v>
      </c>
    </row>
    <row r="61" spans="2:11">
      <c r="B61" s="317" t="s">
        <v>177</v>
      </c>
      <c r="D61" s="318">
        <v>6432</v>
      </c>
      <c r="E61" s="319">
        <v>100</v>
      </c>
      <c r="F61" s="320">
        <v>7</v>
      </c>
      <c r="H61" s="324" t="s">
        <v>146</v>
      </c>
      <c r="I61" s="325"/>
      <c r="J61" s="326"/>
      <c r="K61" s="327"/>
    </row>
    <row r="62" spans="2:11" ht="13.5">
      <c r="B62" s="317" t="s">
        <v>178</v>
      </c>
      <c r="D62" s="318">
        <v>6434</v>
      </c>
      <c r="E62" s="319">
        <v>17.5</v>
      </c>
      <c r="F62" s="320">
        <v>7</v>
      </c>
      <c r="H62" s="328">
        <v>8</v>
      </c>
      <c r="I62" s="329"/>
      <c r="J62" s="330"/>
      <c r="K62" s="331">
        <f>SUM(K63:K64)</f>
        <v>1.52</v>
      </c>
    </row>
    <row r="63" spans="2:11" ht="13.5">
      <c r="B63" s="317" t="s">
        <v>179</v>
      </c>
      <c r="D63" s="318">
        <v>6436</v>
      </c>
      <c r="E63" s="319">
        <v>62.5</v>
      </c>
      <c r="F63" s="320">
        <v>7</v>
      </c>
      <c r="H63" s="321" t="s">
        <v>164</v>
      </c>
      <c r="J63" s="318"/>
      <c r="K63" s="319"/>
    </row>
    <row r="64" spans="2:11">
      <c r="B64" s="317" t="s">
        <v>180</v>
      </c>
      <c r="D64" s="318">
        <v>6438</v>
      </c>
      <c r="E64" s="319">
        <v>40</v>
      </c>
      <c r="F64" s="320">
        <v>7</v>
      </c>
      <c r="H64" s="317" t="s">
        <v>181</v>
      </c>
      <c r="J64" s="318">
        <v>6100</v>
      </c>
      <c r="K64" s="319">
        <v>1.52</v>
      </c>
    </row>
    <row r="65" spans="2:11">
      <c r="B65" s="317" t="s">
        <v>146</v>
      </c>
      <c r="D65" s="318"/>
      <c r="E65" s="319"/>
      <c r="F65" s="320"/>
      <c r="H65" s="324" t="s">
        <v>146</v>
      </c>
      <c r="I65" s="325"/>
      <c r="J65" s="326"/>
      <c r="K65" s="327"/>
    </row>
    <row r="66" spans="2:11" ht="13.5">
      <c r="B66" s="328">
        <v>6</v>
      </c>
      <c r="C66" s="329"/>
      <c r="D66" s="330"/>
      <c r="E66" s="331">
        <f>SUM(E67:E69)</f>
        <v>105.8</v>
      </c>
      <c r="F66" s="332"/>
      <c r="H66" s="312">
        <v>9</v>
      </c>
      <c r="I66" s="313"/>
      <c r="J66" s="314"/>
      <c r="K66" s="315">
        <f>SUM(K67:K70)</f>
        <v>162.72999999999999</v>
      </c>
    </row>
    <row r="67" spans="2:11" ht="13.5">
      <c r="B67" s="317" t="s">
        <v>182</v>
      </c>
      <c r="D67" s="318">
        <v>6105</v>
      </c>
      <c r="E67" s="319">
        <v>96</v>
      </c>
      <c r="F67" s="320">
        <v>0</v>
      </c>
      <c r="H67" s="321" t="s">
        <v>164</v>
      </c>
      <c r="J67" s="318"/>
      <c r="K67" s="319"/>
    </row>
    <row r="68" spans="2:11">
      <c r="B68" s="317" t="s">
        <v>32</v>
      </c>
      <c r="D68" s="337" t="s">
        <v>162</v>
      </c>
      <c r="E68" s="319">
        <v>5.5</v>
      </c>
      <c r="F68" s="320">
        <v>0</v>
      </c>
      <c r="H68" s="317" t="s">
        <v>26</v>
      </c>
      <c r="J68" s="318" t="s">
        <v>183</v>
      </c>
      <c r="K68" s="319">
        <v>154.22999999999999</v>
      </c>
    </row>
    <row r="69" spans="2:11" ht="13.5">
      <c r="B69" s="317" t="s">
        <v>85</v>
      </c>
      <c r="D69" s="337" t="s">
        <v>162</v>
      </c>
      <c r="E69" s="319">
        <v>4.3</v>
      </c>
      <c r="F69" s="320">
        <v>0</v>
      </c>
      <c r="H69" s="321" t="s">
        <v>154</v>
      </c>
      <c r="J69" s="318"/>
      <c r="K69" s="319"/>
    </row>
    <row r="70" spans="2:11">
      <c r="B70" s="338" t="s">
        <v>146</v>
      </c>
      <c r="C70" s="325"/>
      <c r="D70" s="326"/>
      <c r="E70" s="327"/>
      <c r="F70" s="336"/>
      <c r="H70" s="317" t="s">
        <v>184</v>
      </c>
      <c r="J70" s="318">
        <v>6170</v>
      </c>
      <c r="K70" s="319">
        <v>8.5</v>
      </c>
    </row>
    <row r="71" spans="2:11" ht="13.5">
      <c r="B71" s="312">
        <v>7</v>
      </c>
      <c r="C71" s="313"/>
      <c r="D71" s="314"/>
      <c r="E71" s="315">
        <f>SUM(E72:E75)</f>
        <v>288.43</v>
      </c>
      <c r="F71" s="316"/>
      <c r="H71" s="324" t="s">
        <v>146</v>
      </c>
      <c r="I71" s="325"/>
      <c r="J71" s="326"/>
      <c r="K71" s="327"/>
    </row>
    <row r="72" spans="2:11" ht="13.5">
      <c r="B72" s="317" t="s">
        <v>185</v>
      </c>
      <c r="D72" s="318">
        <v>6002</v>
      </c>
      <c r="E72" s="319">
        <v>35.67</v>
      </c>
      <c r="F72" s="320">
        <v>0</v>
      </c>
      <c r="H72" s="328">
        <v>10</v>
      </c>
      <c r="I72" s="329"/>
      <c r="J72" s="330"/>
      <c r="K72" s="331">
        <f>SUM(K73:K75)</f>
        <v>38.5</v>
      </c>
    </row>
    <row r="73" spans="2:11" ht="13.5">
      <c r="B73" s="317" t="s">
        <v>33</v>
      </c>
      <c r="D73" s="318">
        <v>6172</v>
      </c>
      <c r="E73" s="319">
        <v>54</v>
      </c>
      <c r="F73" s="320">
        <v>0</v>
      </c>
      <c r="H73" s="321" t="s">
        <v>186</v>
      </c>
      <c r="J73" s="318"/>
      <c r="K73" s="319"/>
    </row>
    <row r="74" spans="2:11">
      <c r="B74" s="317" t="s">
        <v>187</v>
      </c>
      <c r="D74" s="318" t="s">
        <v>188</v>
      </c>
      <c r="E74" s="319">
        <v>120</v>
      </c>
      <c r="F74" s="320">
        <v>0</v>
      </c>
      <c r="H74" s="317" t="s">
        <v>189</v>
      </c>
      <c r="J74" s="318">
        <v>6340</v>
      </c>
      <c r="K74" s="319">
        <v>26.25</v>
      </c>
    </row>
    <row r="75" spans="2:11">
      <c r="B75" s="317" t="s">
        <v>190</v>
      </c>
      <c r="D75" s="318" t="s">
        <v>188</v>
      </c>
      <c r="E75" s="319">
        <v>78.760000000000005</v>
      </c>
      <c r="F75" s="320">
        <v>1</v>
      </c>
      <c r="H75" s="317" t="s">
        <v>191</v>
      </c>
      <c r="J75" s="318">
        <v>6262</v>
      </c>
      <c r="K75" s="319">
        <v>12.25</v>
      </c>
    </row>
    <row r="76" spans="2:11">
      <c r="B76" s="339" t="s">
        <v>146</v>
      </c>
      <c r="C76" s="340"/>
      <c r="D76" s="341"/>
      <c r="E76" s="342"/>
      <c r="F76" s="343"/>
      <c r="H76" s="324" t="s">
        <v>146</v>
      </c>
      <c r="I76" s="325"/>
      <c r="J76" s="326"/>
      <c r="K76" s="327"/>
    </row>
    <row r="77" spans="2:11" ht="13.5">
      <c r="B77" s="328">
        <v>8</v>
      </c>
      <c r="C77" s="329"/>
      <c r="D77" s="330"/>
      <c r="E77" s="331">
        <f>SUM(E78:E79)</f>
        <v>260</v>
      </c>
      <c r="F77" s="332"/>
    </row>
    <row r="78" spans="2:11">
      <c r="B78" s="317" t="s">
        <v>4</v>
      </c>
      <c r="D78" s="318">
        <v>6100</v>
      </c>
      <c r="E78" s="319">
        <v>260</v>
      </c>
      <c r="F78" s="320">
        <v>0</v>
      </c>
    </row>
    <row r="79" spans="2:11">
      <c r="B79" s="344" t="s">
        <v>146</v>
      </c>
      <c r="C79" s="325"/>
      <c r="D79" s="326"/>
      <c r="E79" s="327"/>
      <c r="F79" s="336"/>
    </row>
    <row r="80" spans="2:11" ht="13.5">
      <c r="B80" s="312">
        <v>9</v>
      </c>
      <c r="C80" s="345"/>
      <c r="D80" s="346"/>
      <c r="E80" s="315">
        <f>SUM(E81:E85)</f>
        <v>567.4</v>
      </c>
      <c r="F80" s="316"/>
    </row>
    <row r="81" spans="2:11">
      <c r="B81" s="317" t="s">
        <v>192</v>
      </c>
      <c r="D81" s="318">
        <v>6059</v>
      </c>
      <c r="E81" s="319">
        <v>160</v>
      </c>
      <c r="F81" s="320">
        <v>0</v>
      </c>
    </row>
    <row r="82" spans="2:11">
      <c r="B82" s="317" t="s">
        <v>193</v>
      </c>
      <c r="D82" s="318">
        <v>6060</v>
      </c>
      <c r="E82" s="319">
        <v>120</v>
      </c>
      <c r="F82" s="320">
        <v>0</v>
      </c>
    </row>
    <row r="83" spans="2:11">
      <c r="B83" s="317" t="s">
        <v>194</v>
      </c>
      <c r="D83" s="318">
        <v>6270</v>
      </c>
      <c r="E83" s="319">
        <v>87</v>
      </c>
      <c r="F83" s="320">
        <v>0</v>
      </c>
    </row>
    <row r="84" spans="2:11">
      <c r="B84" s="317" t="s">
        <v>195</v>
      </c>
      <c r="D84" s="318">
        <v>6290</v>
      </c>
      <c r="E84" s="319">
        <v>150</v>
      </c>
      <c r="F84" s="320">
        <v>0</v>
      </c>
    </row>
    <row r="85" spans="2:11">
      <c r="B85" s="317" t="s">
        <v>86</v>
      </c>
      <c r="D85" s="318">
        <v>6280</v>
      </c>
      <c r="E85" s="319">
        <v>50.4</v>
      </c>
      <c r="F85" s="320">
        <v>0</v>
      </c>
    </row>
    <row r="86" spans="2:11">
      <c r="B86" s="339" t="s">
        <v>146</v>
      </c>
      <c r="D86" s="318"/>
      <c r="E86" s="322"/>
      <c r="F86" s="320"/>
    </row>
    <row r="87" spans="2:11" ht="13.5">
      <c r="B87" s="328">
        <v>10</v>
      </c>
      <c r="C87" s="347"/>
      <c r="D87" s="348"/>
      <c r="E87" s="331">
        <f>SUM(E88:E89)</f>
        <v>222.17</v>
      </c>
      <c r="F87" s="332"/>
    </row>
    <row r="88" spans="2:11">
      <c r="B88" s="317" t="s">
        <v>191</v>
      </c>
      <c r="D88" s="318">
        <v>6263</v>
      </c>
      <c r="E88" s="319">
        <v>222.17</v>
      </c>
      <c r="F88" s="320">
        <v>0</v>
      </c>
    </row>
    <row r="89" spans="2:11">
      <c r="B89" s="338" t="s">
        <v>146</v>
      </c>
      <c r="C89" s="325"/>
      <c r="D89" s="326"/>
      <c r="E89" s="327"/>
      <c r="F89" s="336"/>
    </row>
    <row r="93" spans="2:11">
      <c r="K93" s="349"/>
    </row>
    <row r="94" spans="2:11">
      <c r="K94" s="349"/>
    </row>
    <row r="95" spans="2:11">
      <c r="K95" s="349"/>
    </row>
    <row r="96" spans="2:11">
      <c r="K96" s="349"/>
    </row>
    <row r="98" spans="2:11">
      <c r="B98" s="350"/>
      <c r="E98" s="349"/>
    </row>
    <row r="101" spans="2:11">
      <c r="B101" s="285"/>
      <c r="K101" s="349"/>
    </row>
    <row r="102" spans="2:11">
      <c r="B102" s="285"/>
      <c r="K102" s="349"/>
    </row>
    <row r="103" spans="2:11">
      <c r="K103" s="349"/>
    </row>
    <row r="104" spans="2:11">
      <c r="K104" s="349"/>
    </row>
    <row r="105" spans="2:11">
      <c r="K105" s="349"/>
    </row>
    <row r="106" spans="2:11">
      <c r="K106" s="349"/>
    </row>
    <row r="107" spans="2:11">
      <c r="K107" s="349"/>
    </row>
    <row r="108" spans="2:11">
      <c r="K108" s="349"/>
    </row>
    <row r="109" spans="2:11">
      <c r="K109" s="349"/>
    </row>
    <row r="110" spans="2:11">
      <c r="K110" s="349"/>
    </row>
    <row r="111" spans="2:11">
      <c r="K111" s="349"/>
    </row>
    <row r="112" spans="2:11">
      <c r="K112" s="349"/>
    </row>
    <row r="113" spans="11:11">
      <c r="K113" s="349"/>
    </row>
    <row r="114" spans="11:11">
      <c r="K114" s="349"/>
    </row>
    <row r="115" spans="11:11">
      <c r="K115" s="349"/>
    </row>
    <row r="116" spans="11:11">
      <c r="K116" s="349"/>
    </row>
    <row r="117" spans="11:11">
      <c r="K117" s="349"/>
    </row>
    <row r="118" spans="11:11">
      <c r="K118" s="349"/>
    </row>
    <row r="119" spans="11:11">
      <c r="K119" s="349"/>
    </row>
    <row r="120" spans="11:11">
      <c r="K120" s="349"/>
    </row>
    <row r="121" spans="11:11">
      <c r="K121" s="349"/>
    </row>
    <row r="122" spans="11:11">
      <c r="K122" s="349"/>
    </row>
    <row r="123" spans="11:11">
      <c r="K123" s="349"/>
    </row>
    <row r="124" spans="11:11">
      <c r="K124" s="349"/>
    </row>
    <row r="125" spans="11:11">
      <c r="K125" s="349"/>
    </row>
    <row r="126" spans="11:11">
      <c r="K126" s="349"/>
    </row>
    <row r="127" spans="11:11">
      <c r="K127" s="349"/>
    </row>
    <row r="128" spans="11:11">
      <c r="K128" s="349"/>
    </row>
    <row r="129" spans="11:11">
      <c r="K129" s="349"/>
    </row>
    <row r="130" spans="11:11">
      <c r="K130" s="349"/>
    </row>
    <row r="131" spans="11:11">
      <c r="K131" s="349"/>
    </row>
    <row r="132" spans="11:11">
      <c r="K132" s="349"/>
    </row>
    <row r="133" spans="11:11">
      <c r="K133" s="349"/>
    </row>
    <row r="134" spans="11:11">
      <c r="K134" s="349"/>
    </row>
    <row r="135" spans="11:11">
      <c r="K135" s="349"/>
    </row>
    <row r="136" spans="11:11">
      <c r="K136" s="349"/>
    </row>
    <row r="137" spans="11:11">
      <c r="K137" s="349"/>
    </row>
    <row r="138" spans="11:11">
      <c r="K138" s="349"/>
    </row>
    <row r="139" spans="11:11">
      <c r="K139" s="349"/>
    </row>
    <row r="140" spans="11:11">
      <c r="K140" s="349"/>
    </row>
    <row r="141" spans="11:11">
      <c r="K141" s="349"/>
    </row>
    <row r="142" spans="11:11">
      <c r="K142" s="349"/>
    </row>
    <row r="143" spans="11:11">
      <c r="K143" s="349"/>
    </row>
    <row r="144" spans="11:11">
      <c r="K144" s="349"/>
    </row>
    <row r="145" spans="11:11">
      <c r="K145" s="349"/>
    </row>
    <row r="146" spans="11:11">
      <c r="K146" s="349"/>
    </row>
    <row r="147" spans="11:11">
      <c r="K147" s="349"/>
    </row>
    <row r="148" spans="11:11">
      <c r="K148" s="349"/>
    </row>
    <row r="149" spans="11:11">
      <c r="K149" s="349"/>
    </row>
    <row r="150" spans="11:11">
      <c r="K150" s="349"/>
    </row>
    <row r="151" spans="11:11">
      <c r="K151" s="349"/>
    </row>
    <row r="152" spans="11:11">
      <c r="K152" s="349"/>
    </row>
    <row r="153" spans="11:11">
      <c r="K153" s="349"/>
    </row>
    <row r="154" spans="11:11">
      <c r="K154" s="349"/>
    </row>
    <row r="155" spans="11:11">
      <c r="K155" s="349"/>
    </row>
    <row r="156" spans="11:11">
      <c r="K156" s="349"/>
    </row>
    <row r="157" spans="11:11">
      <c r="K157" s="349"/>
    </row>
    <row r="158" spans="11:11">
      <c r="K158" s="349"/>
    </row>
    <row r="159" spans="11:11">
      <c r="K159" s="349"/>
    </row>
    <row r="160" spans="11:11">
      <c r="K160" s="349"/>
    </row>
    <row r="161" spans="11:11">
      <c r="K161" s="349"/>
    </row>
    <row r="162" spans="11:11">
      <c r="K162" s="349"/>
    </row>
    <row r="163" spans="11:11">
      <c r="K163" s="349"/>
    </row>
    <row r="164" spans="11:11">
      <c r="K164" s="349"/>
    </row>
    <row r="165" spans="11:11">
      <c r="K165" s="349"/>
    </row>
    <row r="166" spans="11:11">
      <c r="K166" s="349"/>
    </row>
    <row r="167" spans="11:11">
      <c r="K167" s="349"/>
    </row>
    <row r="168" spans="11:11">
      <c r="K168" s="349"/>
    </row>
    <row r="169" spans="11:11">
      <c r="K169" s="349"/>
    </row>
    <row r="170" spans="11:11">
      <c r="K170" s="349"/>
    </row>
    <row r="171" spans="11:11">
      <c r="K171" s="349"/>
    </row>
    <row r="172" spans="11:11">
      <c r="K172" s="349"/>
    </row>
    <row r="173" spans="11:11">
      <c r="K173" s="349"/>
    </row>
    <row r="174" spans="11:11">
      <c r="K174" s="349"/>
    </row>
    <row r="175" spans="11:11">
      <c r="K175" s="349"/>
    </row>
    <row r="176" spans="11:11">
      <c r="K176" s="349"/>
    </row>
    <row r="177" spans="5:11">
      <c r="K177" s="349"/>
    </row>
    <row r="178" spans="5:11">
      <c r="K178" s="349"/>
    </row>
    <row r="179" spans="5:11">
      <c r="K179" s="349"/>
    </row>
    <row r="180" spans="5:11">
      <c r="K180" s="349"/>
    </row>
    <row r="181" spans="5:11">
      <c r="K181" s="349"/>
    </row>
    <row r="182" spans="5:11">
      <c r="K182" s="349"/>
    </row>
    <row r="183" spans="5:11">
      <c r="K183" s="349"/>
    </row>
    <row r="184" spans="5:11">
      <c r="K184" s="349"/>
    </row>
    <row r="185" spans="5:11">
      <c r="K185" s="349"/>
    </row>
    <row r="186" spans="5:11">
      <c r="K186" s="349"/>
    </row>
    <row r="188" spans="5:11">
      <c r="E188" s="349"/>
    </row>
    <row r="189" spans="5:11">
      <c r="E189" s="349"/>
    </row>
    <row r="190" spans="5:11">
      <c r="E190" s="349"/>
    </row>
    <row r="191" spans="5:11">
      <c r="E191" s="349"/>
    </row>
    <row r="192" spans="5:11">
      <c r="E192" s="349"/>
    </row>
    <row r="193" spans="5:11">
      <c r="E193" s="349"/>
    </row>
    <row r="194" spans="5:11">
      <c r="E194" s="349"/>
    </row>
    <row r="195" spans="5:11">
      <c r="E195" s="349"/>
    </row>
    <row r="196" spans="5:11">
      <c r="E196" s="349"/>
    </row>
    <row r="197" spans="5:11">
      <c r="E197" s="349"/>
    </row>
    <row r="198" spans="5:11">
      <c r="E198" s="349"/>
    </row>
    <row r="199" spans="5:11">
      <c r="E199" s="349"/>
    </row>
    <row r="200" spans="5:11">
      <c r="E200" s="349"/>
    </row>
    <row r="201" spans="5:11">
      <c r="E201" s="349"/>
    </row>
    <row r="202" spans="5:11">
      <c r="E202" s="349"/>
    </row>
    <row r="203" spans="5:11">
      <c r="E203" s="349"/>
    </row>
    <row r="204" spans="5:11">
      <c r="E204" s="349"/>
    </row>
    <row r="205" spans="5:11">
      <c r="E205" s="349"/>
    </row>
    <row r="206" spans="5:11">
      <c r="E206" s="349"/>
      <c r="K206" s="349"/>
    </row>
    <row r="207" spans="5:11">
      <c r="E207" s="349"/>
      <c r="K207" s="349"/>
    </row>
    <row r="208" spans="5:11">
      <c r="E208" s="349"/>
      <c r="K208" s="349"/>
    </row>
    <row r="209" spans="5:11">
      <c r="E209" s="349"/>
      <c r="K209" s="349"/>
    </row>
    <row r="210" spans="5:11">
      <c r="E210" s="349"/>
      <c r="K210" s="349"/>
    </row>
    <row r="211" spans="5:11">
      <c r="E211" s="349"/>
      <c r="K211" s="349"/>
    </row>
    <row r="212" spans="5:11">
      <c r="E212" s="349"/>
      <c r="K212" s="349"/>
    </row>
    <row r="213" spans="5:11">
      <c r="E213" s="349"/>
      <c r="K213" s="349"/>
    </row>
    <row r="214" spans="5:11">
      <c r="E214" s="349"/>
      <c r="K214" s="349"/>
    </row>
    <row r="215" spans="5:11">
      <c r="E215" s="349"/>
      <c r="K215" s="349"/>
    </row>
    <row r="216" spans="5:11">
      <c r="E216" s="349"/>
      <c r="K216" s="349"/>
    </row>
    <row r="217" spans="5:11">
      <c r="E217" s="349"/>
      <c r="K217" s="349"/>
    </row>
    <row r="218" spans="5:11">
      <c r="E218" s="349"/>
      <c r="K218" s="349"/>
    </row>
    <row r="219" spans="5:11">
      <c r="E219" s="349"/>
      <c r="K219" s="349"/>
    </row>
    <row r="220" spans="5:11">
      <c r="E220" s="349"/>
      <c r="K220" s="349"/>
    </row>
    <row r="221" spans="5:11">
      <c r="E221" s="349"/>
      <c r="K221" s="349"/>
    </row>
    <row r="222" spans="5:11">
      <c r="E222" s="349"/>
      <c r="K222" s="349"/>
    </row>
    <row r="223" spans="5:11">
      <c r="E223" s="349"/>
      <c r="K223" s="349"/>
    </row>
    <row r="224" spans="5:11">
      <c r="E224" s="349"/>
      <c r="K224" s="349"/>
    </row>
    <row r="225" spans="5:11">
      <c r="E225" s="349"/>
      <c r="K225" s="349"/>
    </row>
    <row r="226" spans="5:11">
      <c r="E226" s="349"/>
      <c r="K226" s="349"/>
    </row>
    <row r="227" spans="5:11">
      <c r="E227" s="349"/>
      <c r="K227" s="349"/>
    </row>
    <row r="228" spans="5:11">
      <c r="E228" s="349"/>
      <c r="K228" s="349"/>
    </row>
    <row r="229" spans="5:11">
      <c r="E229" s="349"/>
      <c r="K229" s="349"/>
    </row>
    <row r="230" spans="5:11">
      <c r="E230" s="349"/>
      <c r="K230" s="349"/>
    </row>
    <row r="231" spans="5:11">
      <c r="E231" s="349"/>
      <c r="K231" s="349"/>
    </row>
    <row r="232" spans="5:11">
      <c r="E232" s="349"/>
      <c r="K232" s="349"/>
    </row>
    <row r="233" spans="5:11">
      <c r="E233" s="349"/>
      <c r="K233" s="349"/>
    </row>
    <row r="234" spans="5:11">
      <c r="E234" s="349"/>
      <c r="K234" s="349"/>
    </row>
    <row r="235" spans="5:11">
      <c r="E235" s="349"/>
      <c r="K235" s="349"/>
    </row>
    <row r="236" spans="5:11">
      <c r="E236" s="349"/>
      <c r="K236" s="349"/>
    </row>
    <row r="237" spans="5:11">
      <c r="E237" s="349"/>
      <c r="K237" s="349"/>
    </row>
    <row r="238" spans="5:11">
      <c r="E238" s="349"/>
      <c r="K238" s="349"/>
    </row>
    <row r="239" spans="5:11">
      <c r="E239" s="349"/>
      <c r="K239" s="349"/>
    </row>
    <row r="240" spans="5:11">
      <c r="E240" s="349"/>
      <c r="K240" s="349"/>
    </row>
    <row r="241" spans="5:11">
      <c r="E241" s="349"/>
      <c r="K241" s="349"/>
    </row>
    <row r="242" spans="5:11">
      <c r="E242" s="349"/>
      <c r="K242" s="349"/>
    </row>
    <row r="243" spans="5:11">
      <c r="E243" s="349"/>
      <c r="K243" s="349"/>
    </row>
    <row r="244" spans="5:11">
      <c r="E244" s="349"/>
      <c r="K244" s="349"/>
    </row>
    <row r="245" spans="5:11">
      <c r="E245" s="349"/>
      <c r="K245" s="349"/>
    </row>
    <row r="246" spans="5:11">
      <c r="E246" s="349"/>
      <c r="K246" s="349"/>
    </row>
    <row r="247" spans="5:11">
      <c r="E247" s="349"/>
      <c r="K247" s="349"/>
    </row>
    <row r="248" spans="5:11">
      <c r="E248" s="349"/>
      <c r="K248" s="349"/>
    </row>
    <row r="249" spans="5:11">
      <c r="E249" s="349"/>
      <c r="K249" s="349"/>
    </row>
    <row r="250" spans="5:11">
      <c r="E250" s="349"/>
      <c r="K250" s="349"/>
    </row>
    <row r="251" spans="5:11">
      <c r="E251" s="349"/>
      <c r="K251" s="349"/>
    </row>
    <row r="252" spans="5:11">
      <c r="E252" s="349"/>
      <c r="K252" s="349"/>
    </row>
    <row r="253" spans="5:11">
      <c r="E253" s="349"/>
      <c r="K253" s="349"/>
    </row>
    <row r="254" spans="5:11">
      <c r="E254" s="349"/>
      <c r="K254" s="349"/>
    </row>
    <row r="255" spans="5:11">
      <c r="E255" s="349"/>
      <c r="K255" s="349"/>
    </row>
    <row r="256" spans="5:11">
      <c r="E256" s="349"/>
      <c r="K256" s="349"/>
    </row>
    <row r="257" spans="5:11">
      <c r="E257" s="349"/>
      <c r="K257" s="349"/>
    </row>
    <row r="258" spans="5:11">
      <c r="E258" s="349"/>
      <c r="K258" s="349"/>
    </row>
    <row r="259" spans="5:11">
      <c r="E259" s="349"/>
      <c r="K259" s="349"/>
    </row>
    <row r="260" spans="5:11">
      <c r="E260" s="349"/>
      <c r="K260" s="349"/>
    </row>
    <row r="261" spans="5:11">
      <c r="E261" s="349"/>
      <c r="K261" s="349"/>
    </row>
    <row r="262" spans="5:11">
      <c r="E262" s="349"/>
      <c r="K262" s="349"/>
    </row>
    <row r="263" spans="5:11">
      <c r="E263" s="349"/>
      <c r="K263" s="349"/>
    </row>
    <row r="264" spans="5:11">
      <c r="E264" s="349"/>
      <c r="K264" s="349"/>
    </row>
    <row r="265" spans="5:11">
      <c r="E265" s="349"/>
      <c r="K265" s="349"/>
    </row>
    <row r="266" spans="5:11">
      <c r="E266" s="349"/>
      <c r="K266" s="349"/>
    </row>
    <row r="267" spans="5:11">
      <c r="E267" s="349"/>
      <c r="K267" s="349"/>
    </row>
    <row r="268" spans="5:11">
      <c r="E268" s="349"/>
      <c r="K268" s="349"/>
    </row>
    <row r="269" spans="5:11">
      <c r="E269" s="349"/>
      <c r="K269" s="349"/>
    </row>
    <row r="270" spans="5:11">
      <c r="E270" s="349"/>
      <c r="K270" s="349"/>
    </row>
    <row r="271" spans="5:11">
      <c r="E271" s="349"/>
      <c r="K271" s="349"/>
    </row>
    <row r="272" spans="5:11">
      <c r="E272" s="349"/>
      <c r="K272" s="349"/>
    </row>
    <row r="273" spans="5:11">
      <c r="E273" s="349"/>
      <c r="K273" s="349"/>
    </row>
    <row r="274" spans="5:11">
      <c r="E274" s="349"/>
      <c r="K274" s="349"/>
    </row>
    <row r="275" spans="5:11">
      <c r="E275" s="349"/>
      <c r="K275" s="349"/>
    </row>
    <row r="276" spans="5:11">
      <c r="E276" s="349"/>
      <c r="K276" s="349"/>
    </row>
    <row r="277" spans="5:11">
      <c r="E277" s="349"/>
      <c r="K277" s="349"/>
    </row>
    <row r="278" spans="5:11">
      <c r="E278" s="349"/>
      <c r="K278" s="349"/>
    </row>
    <row r="279" spans="5:11">
      <c r="E279" s="349"/>
      <c r="K279" s="349"/>
    </row>
    <row r="280" spans="5:11">
      <c r="E280" s="349"/>
      <c r="K280" s="349"/>
    </row>
    <row r="281" spans="5:11">
      <c r="E281" s="349"/>
      <c r="K281" s="349"/>
    </row>
  </sheetData>
  <conditionalFormatting sqref="C13:M14 E20:F21 K20:K22 E25:F29 K27:K28 K31:K33 E32:F37 K36:K40 E40:F53 K42:K46 K49:K60 E56:F65 K63:K64 E67:F70 K67:K70 E72:F76 K73:K76 E78:F79 E81:F85 E88:F89">
    <cfRule type="cellIs" dxfId="31" priority="1" operator="equal">
      <formula>0</formula>
    </cfRule>
  </conditionalFormatting>
  <conditionalFormatting sqref="K93:K96 E98 K101:K186 E188:E281 K206:K281">
    <cfRule type="cellIs" dxfId="3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40"/>
  <sheetViews>
    <sheetView showGridLines="0" tabSelected="1" topLeftCell="A9" zoomScale="85" zoomScaleNormal="85" workbookViewId="0">
      <selection activeCell="D37" sqref="D37"/>
    </sheetView>
  </sheetViews>
  <sheetFormatPr baseColWidth="10" defaultColWidth="8.81640625" defaultRowHeight="12.5"/>
  <cols>
    <col min="1" max="1" width="3" customWidth="1"/>
    <col min="2" max="2" width="51.08984375" customWidth="1"/>
    <col min="3" max="3" width="22.6328125" customWidth="1"/>
    <col min="4" max="4" width="22.1796875" customWidth="1"/>
    <col min="5" max="5" width="21.7265625" customWidth="1"/>
    <col min="6" max="6" width="20.08984375" customWidth="1"/>
    <col min="7" max="7" width="12.54296875" bestFit="1" customWidth="1"/>
    <col min="8" max="8" width="14.1796875" customWidth="1"/>
    <col min="9" max="9" width="12.26953125" bestFit="1" customWidth="1"/>
    <col min="10" max="10" width="10.1796875" bestFit="1" customWidth="1"/>
    <col min="11" max="11" width="10.54296875" bestFit="1" customWidth="1"/>
    <col min="12" max="12" width="12.26953125" bestFit="1" customWidth="1"/>
    <col min="13" max="13" width="10.1796875" bestFit="1" customWidth="1"/>
    <col min="14" max="14" width="10.54296875" bestFit="1" customWidth="1"/>
  </cols>
  <sheetData>
    <row r="1" spans="2:8" ht="15.5">
      <c r="B1" s="965" t="s">
        <v>3</v>
      </c>
      <c r="C1" s="965"/>
      <c r="D1" s="965"/>
      <c r="E1" s="965"/>
      <c r="F1" s="965"/>
      <c r="G1" s="965"/>
    </row>
    <row r="2" spans="2:8" ht="20">
      <c r="B2" s="965" t="s">
        <v>13</v>
      </c>
      <c r="C2" s="965"/>
      <c r="D2" s="965"/>
      <c r="E2" s="965"/>
      <c r="F2" s="965"/>
      <c r="G2" s="965"/>
      <c r="H2" s="561"/>
    </row>
    <row r="3" spans="2:8" ht="15.5">
      <c r="B3" s="965" t="s">
        <v>745</v>
      </c>
      <c r="C3" s="965"/>
      <c r="D3" s="965"/>
      <c r="E3" s="965"/>
      <c r="F3" s="965"/>
      <c r="G3" s="965"/>
    </row>
    <row r="4" spans="2:8" ht="13">
      <c r="C4" s="3"/>
      <c r="D4" s="3"/>
      <c r="E4" s="3"/>
      <c r="F4" s="3"/>
      <c r="G4" s="3"/>
    </row>
    <row r="5" spans="2:8" ht="18.649999999999999" customHeight="1">
      <c r="B5" s="969" t="s">
        <v>91</v>
      </c>
      <c r="C5" s="970"/>
      <c r="D5" s="970"/>
      <c r="E5" s="970"/>
      <c r="F5" s="970"/>
      <c r="G5" s="971"/>
    </row>
    <row r="6" spans="2:8" ht="23.5" customHeight="1">
      <c r="B6" s="969" t="s">
        <v>509</v>
      </c>
      <c r="C6" s="970"/>
      <c r="D6" s="970"/>
      <c r="E6" s="970"/>
      <c r="F6" s="970"/>
      <c r="G6" s="971"/>
    </row>
    <row r="7" spans="2:8" ht="13">
      <c r="B7" s="966" t="s">
        <v>92</v>
      </c>
      <c r="C7" s="968" t="s">
        <v>15</v>
      </c>
      <c r="D7" s="95">
        <v>45839</v>
      </c>
      <c r="E7" s="95">
        <v>46204</v>
      </c>
      <c r="F7" s="95">
        <v>46569</v>
      </c>
      <c r="G7" s="95">
        <v>46935</v>
      </c>
      <c r="H7" s="2"/>
    </row>
    <row r="8" spans="2:8" ht="13">
      <c r="B8" s="967"/>
      <c r="C8" s="968"/>
      <c r="D8" s="95">
        <v>46203</v>
      </c>
      <c r="E8" s="95">
        <v>46568</v>
      </c>
      <c r="F8" s="95">
        <v>46934</v>
      </c>
      <c r="G8" s="95">
        <v>47299</v>
      </c>
      <c r="H8" s="2"/>
    </row>
    <row r="9" spans="2:8" ht="18.75" customHeight="1">
      <c r="B9" s="386" t="s">
        <v>34</v>
      </c>
      <c r="C9" s="387">
        <f>(SUM(D9:G9))</f>
        <v>47315.13361815035</v>
      </c>
      <c r="D9" s="387">
        <f>SUM(D10:D11)</f>
        <v>9916.9444077084809</v>
      </c>
      <c r="E9" s="387">
        <f t="shared" ref="E9:F9" si="0">+E10+E11</f>
        <v>12234.249070059135</v>
      </c>
      <c r="F9" s="387">
        <f t="shared" si="0"/>
        <v>13531.260254657622</v>
      </c>
      <c r="G9" s="387">
        <f>SUM(G10:G11)</f>
        <v>11632.679885725114</v>
      </c>
    </row>
    <row r="10" spans="2:8" ht="18.75" customHeight="1">
      <c r="B10" s="376" t="s">
        <v>102</v>
      </c>
      <c r="C10" s="377">
        <f>(SUM(D10:G10))</f>
        <v>47315.13361815035</v>
      </c>
      <c r="D10" s="377">
        <f>'IMP Existente '!E81</f>
        <v>9916.9444077084809</v>
      </c>
      <c r="E10" s="377">
        <f>'IMP Existente '!F81</f>
        <v>12234.249070059135</v>
      </c>
      <c r="F10" s="377">
        <f>'IMP Existente '!G81</f>
        <v>13531.260254657622</v>
      </c>
      <c r="G10" s="377">
        <f>'IMP Existente '!H81</f>
        <v>11632.679885725114</v>
      </c>
    </row>
    <row r="11" spans="2:8" ht="18.75" customHeight="1">
      <c r="B11" s="376"/>
      <c r="C11" s="377"/>
      <c r="D11" s="377"/>
      <c r="E11" s="377"/>
      <c r="F11" s="377"/>
      <c r="G11" s="377"/>
    </row>
    <row r="12" spans="2:8" ht="18.75" hidden="1" customHeight="1">
      <c r="B12" s="378" t="s">
        <v>265</v>
      </c>
      <c r="C12" s="379"/>
      <c r="D12" s="380">
        <f>+IMP!E84</f>
        <v>0.96697771116375775</v>
      </c>
      <c r="E12" s="380">
        <f>+IMP!F84</f>
        <v>0.90515558472690982</v>
      </c>
      <c r="F12" s="380"/>
      <c r="G12" s="380"/>
    </row>
    <row r="13" spans="2:8" ht="11.25" hidden="1" customHeight="1">
      <c r="B13" s="388" t="s">
        <v>266</v>
      </c>
      <c r="C13" s="389">
        <f t="shared" ref="C13" si="1">(SUM(D13:G13))</f>
        <v>20663.363075808204</v>
      </c>
      <c r="D13" s="390">
        <f>+D12*D9</f>
        <v>9589.4642051041737</v>
      </c>
      <c r="E13" s="390">
        <f t="shared" ref="E13" si="2">+E12*E9</f>
        <v>11073.89887070403</v>
      </c>
      <c r="F13" s="390"/>
      <c r="G13" s="390"/>
    </row>
    <row r="14" spans="2:8" ht="27" customHeight="1">
      <c r="B14" s="384" t="s">
        <v>90</v>
      </c>
      <c r="C14" s="385">
        <f>+C15+C16</f>
        <v>47315.13361815035</v>
      </c>
      <c r="D14" s="385">
        <f>D9</f>
        <v>9916.9444077084809</v>
      </c>
      <c r="E14" s="385">
        <f>+E9</f>
        <v>12234.249070059135</v>
      </c>
      <c r="F14" s="385">
        <f>+F9</f>
        <v>13531.260254657622</v>
      </c>
      <c r="G14" s="385">
        <f>+G9</f>
        <v>11632.679885725114</v>
      </c>
    </row>
    <row r="15" spans="2:8" ht="18.75" customHeight="1">
      <c r="B15" s="381" t="s">
        <v>7</v>
      </c>
      <c r="C15" s="382">
        <f>SUM(D15:G15)</f>
        <v>23657.566809075175</v>
      </c>
      <c r="D15" s="560">
        <f>D14/2</f>
        <v>4958.4722038542404</v>
      </c>
      <c r="E15" s="560">
        <f t="shared" ref="E15:G15" si="3">E14/2</f>
        <v>6117.1245350295676</v>
      </c>
      <c r="F15" s="560">
        <f t="shared" si="3"/>
        <v>6765.6301273288109</v>
      </c>
      <c r="G15" s="560">
        <f t="shared" si="3"/>
        <v>5816.3399428625571</v>
      </c>
      <c r="H15" s="954"/>
    </row>
    <row r="16" spans="2:8" ht="24.65" customHeight="1">
      <c r="B16" s="381" t="s">
        <v>12</v>
      </c>
      <c r="C16" s="382">
        <f>SUM(D16:G16)</f>
        <v>23657.566809075175</v>
      </c>
      <c r="D16" s="560">
        <f>D14/2</f>
        <v>4958.4722038542404</v>
      </c>
      <c r="E16" s="560">
        <f t="shared" ref="E16:G16" si="4">E14/2</f>
        <v>6117.1245350295676</v>
      </c>
      <c r="F16" s="560">
        <f t="shared" si="4"/>
        <v>6765.6301273288109</v>
      </c>
      <c r="G16" s="560">
        <f t="shared" si="4"/>
        <v>5816.3399428625571</v>
      </c>
      <c r="H16" s="954"/>
    </row>
    <row r="17" spans="1:8" ht="18.75" customHeight="1">
      <c r="B17" s="960" t="s">
        <v>6</v>
      </c>
      <c r="C17" s="961"/>
      <c r="D17" s="961"/>
      <c r="E17" s="961"/>
      <c r="F17" s="961"/>
      <c r="G17" s="962"/>
    </row>
    <row r="18" spans="1:8" ht="18.75" customHeight="1">
      <c r="B18" s="383" t="s">
        <v>8</v>
      </c>
      <c r="C18" s="379">
        <f>SUM(D18:G18)</f>
        <v>20552.8637996</v>
      </c>
      <c r="D18" s="379">
        <f>'Resumen Dem  Y Cap'!N5</f>
        <v>4859.4834498999999</v>
      </c>
      <c r="E18" s="379">
        <f>'Resumen Dem  Y Cap'!N11</f>
        <v>5076.7934499000003</v>
      </c>
      <c r="F18" s="379">
        <f>'Resumen Dem  Y Cap'!N17</f>
        <v>5276.7934499000003</v>
      </c>
      <c r="G18" s="379">
        <f>'Resumen Dem  Y Cap'!N23</f>
        <v>5339.7934499000003</v>
      </c>
      <c r="H18" s="513"/>
    </row>
    <row r="19" spans="1:8" ht="18.75" customHeight="1">
      <c r="B19" s="383" t="s">
        <v>9</v>
      </c>
      <c r="C19" s="379">
        <f>SUM(D19:G19)</f>
        <v>7780.4599999999991</v>
      </c>
      <c r="D19" s="379">
        <f>'Resumen Dem  Y Cap'!N6</f>
        <v>1900.13</v>
      </c>
      <c r="E19" s="379">
        <f>'Resumen Dem  Y Cap'!N12</f>
        <v>1921.96</v>
      </c>
      <c r="F19" s="379">
        <f>'Resumen Dem  Y Cap'!N18</f>
        <v>1960.81</v>
      </c>
      <c r="G19" s="379">
        <f>'Resumen Dem  Y Cap'!N24</f>
        <v>1997.56</v>
      </c>
      <c r="H19" s="513"/>
    </row>
    <row r="20" spans="1:8" ht="18">
      <c r="A20" s="396"/>
      <c r="B20" s="396"/>
      <c r="C20" s="395"/>
      <c r="D20" s="395"/>
      <c r="E20" s="395"/>
      <c r="F20" s="395"/>
      <c r="G20" s="395"/>
      <c r="H20" s="396"/>
    </row>
    <row r="21" spans="1:8" ht="18">
      <c r="A21" s="396"/>
      <c r="B21" s="396"/>
      <c r="C21" s="395"/>
      <c r="D21" s="395"/>
      <c r="E21" s="395"/>
      <c r="F21" s="395"/>
      <c r="G21" s="395"/>
      <c r="H21" s="396"/>
    </row>
    <row r="22" spans="1:8" ht="18">
      <c r="A22" s="396"/>
      <c r="B22" s="396"/>
      <c r="C22" s="395"/>
      <c r="D22" s="395"/>
      <c r="E22" s="395"/>
      <c r="F22" s="395"/>
      <c r="G22" s="395"/>
      <c r="H22" s="396"/>
    </row>
    <row r="23" spans="1:8" ht="24" customHeight="1">
      <c r="A23" s="396"/>
      <c r="B23" s="955" t="s">
        <v>232</v>
      </c>
      <c r="C23" s="956"/>
      <c r="D23" s="956"/>
      <c r="E23" s="956"/>
      <c r="F23" s="957"/>
    </row>
    <row r="24" spans="1:8" ht="23.5" customHeight="1">
      <c r="A24" s="396"/>
      <c r="B24" s="964" t="s">
        <v>748</v>
      </c>
      <c r="C24" s="799" t="s">
        <v>490</v>
      </c>
      <c r="D24" s="799" t="s">
        <v>491</v>
      </c>
      <c r="E24" s="799" t="s">
        <v>492</v>
      </c>
      <c r="F24" s="798" t="s">
        <v>493</v>
      </c>
    </row>
    <row r="25" spans="1:8" ht="29" customHeight="1">
      <c r="A25" s="396"/>
      <c r="B25" s="1037"/>
      <c r="C25" s="948" t="s">
        <v>884</v>
      </c>
      <c r="D25" s="948" t="s">
        <v>885</v>
      </c>
      <c r="E25" s="948" t="s">
        <v>886</v>
      </c>
      <c r="F25" s="948" t="s">
        <v>887</v>
      </c>
    </row>
    <row r="26" spans="1:8" ht="22.5" customHeight="1">
      <c r="A26" s="396"/>
      <c r="B26" s="796" t="s">
        <v>11</v>
      </c>
      <c r="C26" s="1036">
        <f t="shared" ref="C26:F27" si="5">ROUND(D15/D18/12,4)</f>
        <v>8.5000000000000006E-2</v>
      </c>
      <c r="D26" s="1036">
        <f t="shared" si="5"/>
        <v>0.1004</v>
      </c>
      <c r="E26" s="1036">
        <f t="shared" si="5"/>
        <v>0.10680000000000001</v>
      </c>
      <c r="F26" s="1036">
        <f t="shared" si="5"/>
        <v>9.0800000000000006E-2</v>
      </c>
    </row>
    <row r="27" spans="1:8" ht="22.5" customHeight="1">
      <c r="A27" s="396"/>
      <c r="B27" s="800" t="s">
        <v>10</v>
      </c>
      <c r="C27" s="1036">
        <f t="shared" si="5"/>
        <v>0.2175</v>
      </c>
      <c r="D27" s="1036">
        <f t="shared" si="5"/>
        <v>0.26519999999999999</v>
      </c>
      <c r="E27" s="1036">
        <f t="shared" si="5"/>
        <v>0.28749999999999998</v>
      </c>
      <c r="F27" s="1036">
        <f t="shared" si="5"/>
        <v>0.24260000000000001</v>
      </c>
    </row>
    <row r="28" spans="1:8" ht="18">
      <c r="A28" s="396"/>
      <c r="C28" s="797"/>
    </row>
    <row r="29" spans="1:8" ht="15.5" hidden="1">
      <c r="B29" s="963" t="s">
        <v>518</v>
      </c>
      <c r="C29" s="963"/>
      <c r="D29" s="963"/>
      <c r="E29" s="963"/>
      <c r="F29" s="963"/>
    </row>
    <row r="30" spans="1:8" ht="13" hidden="1">
      <c r="B30" s="958" t="s">
        <v>517</v>
      </c>
      <c r="C30" s="95">
        <v>45839</v>
      </c>
      <c r="D30" s="95">
        <v>46204</v>
      </c>
      <c r="E30" s="95">
        <v>46569</v>
      </c>
      <c r="F30" s="95">
        <v>46935</v>
      </c>
    </row>
    <row r="31" spans="1:8" ht="13" hidden="1">
      <c r="B31" s="959"/>
      <c r="C31" s="95">
        <v>46203</v>
      </c>
      <c r="D31" s="95">
        <v>46568</v>
      </c>
      <c r="E31" s="95">
        <v>46934</v>
      </c>
      <c r="F31" s="95">
        <v>47299</v>
      </c>
    </row>
    <row r="32" spans="1:8" ht="21.65" hidden="1" customHeight="1">
      <c r="B32" s="903" t="str">
        <f>+B26</f>
        <v>Agentes Generadores</v>
      </c>
      <c r="C32" s="904">
        <f>+C26/SUM(C26:C27)</f>
        <v>0.28099173553719009</v>
      </c>
      <c r="D32" s="904">
        <f>+D26/SUM(D26:D27)</f>
        <v>0.27461706783369805</v>
      </c>
      <c r="E32" s="904">
        <f>+E26/SUM(E26:E27)</f>
        <v>0.27085975145828051</v>
      </c>
      <c r="F32" s="904">
        <f>+F26/SUM(F26:F27)</f>
        <v>0.27234553089382124</v>
      </c>
    </row>
    <row r="33" spans="2:6" ht="18.649999999999999" hidden="1" customHeight="1">
      <c r="B33" s="903" t="str">
        <f>+B27</f>
        <v>Agentes Consumidores</v>
      </c>
      <c r="C33" s="904">
        <f>+C27/SUM(C26:C27)</f>
        <v>0.71900826446280997</v>
      </c>
      <c r="D33" s="904">
        <f>+D27/SUM(D26:D27)</f>
        <v>0.72538293216630201</v>
      </c>
      <c r="E33" s="904">
        <f>+E27/SUM(E26:E27)</f>
        <v>0.72914024854171944</v>
      </c>
      <c r="F33" s="904">
        <f>+F27/SUM(F26:F27)</f>
        <v>0.7276544691061787</v>
      </c>
    </row>
    <row r="34" spans="2:6" ht="15.5" hidden="1">
      <c r="B34" s="798" t="s">
        <v>2</v>
      </c>
      <c r="C34" s="905">
        <f>SUM(C32:C33)</f>
        <v>1</v>
      </c>
      <c r="D34" s="905">
        <f t="shared" ref="D34:F34" si="6">SUM(D32:D33)</f>
        <v>1</v>
      </c>
      <c r="E34" s="905">
        <f t="shared" si="6"/>
        <v>1</v>
      </c>
      <c r="F34" s="905">
        <f t="shared" si="6"/>
        <v>1</v>
      </c>
    </row>
    <row r="37" spans="2:6">
      <c r="E37" s="475"/>
    </row>
    <row r="40" spans="2:6">
      <c r="C40" s="902"/>
      <c r="D40" s="902"/>
      <c r="E40" s="902"/>
      <c r="F40" s="902"/>
    </row>
  </sheetData>
  <mergeCells count="13">
    <mergeCell ref="B1:G1"/>
    <mergeCell ref="B2:G2"/>
    <mergeCell ref="B3:G3"/>
    <mergeCell ref="B7:B8"/>
    <mergeCell ref="C7:C8"/>
    <mergeCell ref="B6:G6"/>
    <mergeCell ref="B5:G5"/>
    <mergeCell ref="H15:H16"/>
    <mergeCell ref="B23:F23"/>
    <mergeCell ref="B30:B31"/>
    <mergeCell ref="B17:G17"/>
    <mergeCell ref="B29:F29"/>
    <mergeCell ref="B24:B25"/>
  </mergeCells>
  <phoneticPr fontId="0" type="noConversion"/>
  <printOptions horizontalCentered="1" verticalCentered="1"/>
  <pageMargins left="0.74803149606299213" right="0.74803149606299213" top="0.51181102362204722" bottom="0.51181102362204722" header="0.51181102362204722" footer="0.51181102362204722"/>
  <pageSetup scale="60" orientation="landscape" horizontalDpi="4294967293" r:id="rId1"/>
  <headerFooter alignWithMargins="0">
    <oddFooter>&amp;LArchivo:  &amp;FHoja: 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7EEB8-366C-439C-A3A5-B3D6C6935F63}">
  <sheetPr codeName="Hoja6">
    <tabColor theme="8" tint="-0.499984740745262"/>
    <pageSetUpPr fitToPage="1"/>
  </sheetPr>
  <dimension ref="A1:K191"/>
  <sheetViews>
    <sheetView showGridLines="0" zoomScale="96" zoomScaleNormal="96" workbookViewId="0">
      <pane ySplit="3" topLeftCell="A57" activePane="bottomLeft" state="frozen"/>
      <selection activeCell="H235" sqref="H235"/>
      <selection pane="bottomLeft" activeCell="H81" sqref="H81"/>
    </sheetView>
  </sheetViews>
  <sheetFormatPr baseColWidth="10" defaultColWidth="9.1796875" defaultRowHeight="13"/>
  <cols>
    <col min="1" max="1" width="1.54296875" style="602" customWidth="1"/>
    <col min="2" max="2" width="55.1796875" style="602" customWidth="1"/>
    <col min="3" max="3" width="9.81640625" style="602" customWidth="1"/>
    <col min="4" max="4" width="10.1796875" style="602" customWidth="1"/>
    <col min="5" max="5" width="10.7265625" style="602" customWidth="1"/>
    <col min="6" max="6" width="10.26953125" style="602" customWidth="1"/>
    <col min="7" max="7" width="10.1796875" style="602" customWidth="1"/>
    <col min="8" max="8" width="10.7265625" style="602" customWidth="1"/>
    <col min="9" max="9" width="10.453125" style="602" customWidth="1"/>
    <col min="10" max="16384" width="9.1796875" style="602"/>
  </cols>
  <sheetData>
    <row r="1" spans="2:9" s="931" customFormat="1">
      <c r="B1"/>
      <c r="C1"/>
      <c r="D1"/>
      <c r="E1"/>
      <c r="F1"/>
      <c r="G1"/>
      <c r="H1"/>
      <c r="I1"/>
    </row>
    <row r="2" spans="2:9" s="931" customFormat="1">
      <c r="B2" s="974" t="s">
        <v>35</v>
      </c>
      <c r="C2" s="974"/>
      <c r="D2" s="974"/>
      <c r="E2" s="974"/>
      <c r="F2" s="974"/>
      <c r="G2" s="974"/>
      <c r="H2" s="974"/>
      <c r="I2" s="974"/>
    </row>
    <row r="3" spans="2:9" s="931" customFormat="1">
      <c r="B3" s="974" t="s">
        <v>481</v>
      </c>
      <c r="C3" s="974"/>
      <c r="D3" s="974"/>
      <c r="E3" s="974"/>
      <c r="F3" s="974"/>
      <c r="G3" s="974"/>
      <c r="H3" s="974"/>
      <c r="I3" s="974"/>
    </row>
    <row r="4" spans="2:9" s="931" customFormat="1">
      <c r="B4" s="974" t="s">
        <v>496</v>
      </c>
      <c r="C4" s="974"/>
      <c r="D4" s="974"/>
      <c r="E4" s="974"/>
      <c r="F4" s="974"/>
      <c r="G4" s="974"/>
      <c r="H4" s="974"/>
      <c r="I4" s="974"/>
    </row>
    <row r="5" spans="2:9" s="933" customFormat="1" ht="13.5" thickBot="1">
      <c r="B5" s="932" t="s">
        <v>482</v>
      </c>
    </row>
    <row r="6" spans="2:9" ht="13.5" thickBot="1">
      <c r="B6" s="606"/>
      <c r="C6" s="802" t="s">
        <v>38</v>
      </c>
      <c r="D6" s="802">
        <v>2024</v>
      </c>
      <c r="E6" s="802">
        <f>D6+1</f>
        <v>2025</v>
      </c>
      <c r="F6" s="802">
        <f>+E6+1</f>
        <v>2026</v>
      </c>
      <c r="G6" s="802">
        <f>+F6+1</f>
        <v>2027</v>
      </c>
      <c r="H6" s="802">
        <f>+G6+1</f>
        <v>2028</v>
      </c>
      <c r="I6" s="802">
        <f>+H6+1</f>
        <v>2029</v>
      </c>
    </row>
    <row r="7" spans="2:9">
      <c r="B7" s="803" t="s">
        <v>39</v>
      </c>
      <c r="C7" s="804" t="s">
        <v>40</v>
      </c>
      <c r="D7" s="619"/>
      <c r="E7" s="620">
        <f>+'[19]OMT%_ADMT%'!F14</f>
        <v>1.7463481823484322E-2</v>
      </c>
      <c r="F7" s="619">
        <f>$E$7</f>
        <v>1.7463481823484322E-2</v>
      </c>
      <c r="G7" s="619">
        <f t="shared" ref="G7:I7" si="0">$E$7</f>
        <v>1.7463481823484322E-2</v>
      </c>
      <c r="H7" s="619">
        <f t="shared" si="0"/>
        <v>1.7463481823484322E-2</v>
      </c>
      <c r="I7" s="619">
        <f t="shared" si="0"/>
        <v>1.7463481823484322E-2</v>
      </c>
    </row>
    <row r="8" spans="2:9">
      <c r="B8" s="805" t="s">
        <v>41</v>
      </c>
      <c r="C8" s="806" t="s">
        <v>40</v>
      </c>
      <c r="D8" s="618"/>
      <c r="E8" s="618">
        <f>+'[19]OMT%_ADMT%'!F13</f>
        <v>8.2319969859183714E-3</v>
      </c>
      <c r="F8" s="618">
        <f>$E$8</f>
        <v>8.2319969859183714E-3</v>
      </c>
      <c r="G8" s="618">
        <f t="shared" ref="G8:I8" si="1">$E$8</f>
        <v>8.2319969859183714E-3</v>
      </c>
      <c r="H8" s="618">
        <f t="shared" si="1"/>
        <v>8.2319969859183714E-3</v>
      </c>
      <c r="I8" s="618">
        <f t="shared" si="1"/>
        <v>8.2319969859183714E-3</v>
      </c>
    </row>
    <row r="9" spans="2:9" ht="8.25" customHeight="1" thickBot="1">
      <c r="E9" s="617"/>
      <c r="F9" s="617"/>
      <c r="G9" s="617"/>
      <c r="H9" s="617"/>
      <c r="I9" s="617"/>
    </row>
    <row r="10" spans="2:9" ht="13.5" thickBot="1">
      <c r="B10" s="807" t="s">
        <v>233</v>
      </c>
      <c r="C10" s="808" t="s">
        <v>40</v>
      </c>
      <c r="D10" s="564">
        <f>'[19]Tasa de Depreciación'!F28</f>
        <v>3.2314329354868353E-2</v>
      </c>
      <c r="E10" s="617"/>
      <c r="F10" s="617"/>
      <c r="G10" s="617"/>
      <c r="H10" s="617"/>
      <c r="I10" s="617"/>
    </row>
    <row r="11" spans="2:9" ht="13.5" thickBot="1">
      <c r="B11" s="807" t="s">
        <v>42</v>
      </c>
      <c r="C11" s="808" t="s">
        <v>40</v>
      </c>
      <c r="D11" s="934">
        <v>9.6000000000000002E-2</v>
      </c>
      <c r="E11" s="617"/>
      <c r="F11" s="617"/>
      <c r="G11" s="617"/>
      <c r="H11" s="617"/>
      <c r="I11" s="617"/>
    </row>
    <row r="12" spans="2:9" ht="6.65" customHeight="1">
      <c r="C12" s="817"/>
      <c r="D12" s="887"/>
      <c r="E12" s="617"/>
      <c r="F12" s="617"/>
      <c r="G12" s="617"/>
      <c r="H12" s="617"/>
      <c r="I12" s="617"/>
    </row>
    <row r="13" spans="2:9">
      <c r="B13" s="888" t="s">
        <v>697</v>
      </c>
      <c r="C13" s="889"/>
      <c r="D13" s="890">
        <v>0.45</v>
      </c>
      <c r="E13" s="617"/>
      <c r="F13" s="617"/>
      <c r="G13" s="617"/>
      <c r="H13" s="617"/>
      <c r="I13" s="617"/>
    </row>
    <row r="14" spans="2:9">
      <c r="B14" s="815" t="s">
        <v>698</v>
      </c>
      <c r="C14" s="891"/>
      <c r="D14" s="892">
        <f>1-D13</f>
        <v>0.55000000000000004</v>
      </c>
      <c r="E14" s="617"/>
      <c r="F14" s="617"/>
      <c r="G14" s="617"/>
      <c r="H14" s="617"/>
      <c r="I14" s="617"/>
    </row>
    <row r="15" spans="2:9" ht="7.5" customHeight="1">
      <c r="B15" s="809"/>
    </row>
    <row r="16" spans="2:9" s="933" customFormat="1">
      <c r="B16" s="932" t="s">
        <v>347</v>
      </c>
    </row>
    <row r="17" spans="2:9" ht="13.5" customHeight="1" thickBot="1">
      <c r="B17" s="602" t="s">
        <v>341</v>
      </c>
      <c r="H17" s="602" t="s">
        <v>483</v>
      </c>
      <c r="I17" s="810">
        <f>AVERAGE('[19]Factor ajuste'!E23:H23)</f>
        <v>0.99548609206107164</v>
      </c>
    </row>
    <row r="18" spans="2:9" ht="13.5" customHeight="1" thickBot="1">
      <c r="B18" s="606" t="s">
        <v>346</v>
      </c>
      <c r="C18" s="802" t="s">
        <v>38</v>
      </c>
      <c r="D18" s="802">
        <f>D$6</f>
        <v>2024</v>
      </c>
      <c r="E18" s="802">
        <f t="shared" ref="E18:I18" si="2">E$6</f>
        <v>2025</v>
      </c>
      <c r="F18" s="802">
        <f t="shared" si="2"/>
        <v>2026</v>
      </c>
      <c r="G18" s="802">
        <f t="shared" si="2"/>
        <v>2027</v>
      </c>
      <c r="H18" s="802">
        <f t="shared" si="2"/>
        <v>2028</v>
      </c>
      <c r="I18" s="802">
        <f t="shared" si="2"/>
        <v>2029</v>
      </c>
    </row>
    <row r="19" spans="2:9">
      <c r="B19" s="811" t="s">
        <v>699</v>
      </c>
      <c r="C19" s="804" t="s">
        <v>45</v>
      </c>
      <c r="D19" s="610">
        <v>1064357.1930205363</v>
      </c>
      <c r="E19" s="610">
        <v>1064357.1930205363</v>
      </c>
      <c r="F19" s="610">
        <v>1064357.1930205363</v>
      </c>
      <c r="G19" s="610">
        <v>1064357.1930205363</v>
      </c>
      <c r="H19" s="610">
        <v>1064357.1930205363</v>
      </c>
      <c r="I19" s="610">
        <v>1064357.1930205363</v>
      </c>
    </row>
    <row r="20" spans="2:9">
      <c r="B20" s="812" t="s">
        <v>345</v>
      </c>
      <c r="C20" s="813" t="s">
        <v>45</v>
      </c>
      <c r="D20" s="609">
        <v>106087.31255358222</v>
      </c>
      <c r="E20" s="609">
        <v>118717.93898808559</v>
      </c>
      <c r="F20" s="609">
        <v>118717.93898808559</v>
      </c>
      <c r="G20" s="609">
        <v>123823.84290148797</v>
      </c>
      <c r="H20" s="609">
        <v>123823.84290148797</v>
      </c>
      <c r="I20" s="609">
        <v>123823.84290148797</v>
      </c>
    </row>
    <row r="21" spans="2:9">
      <c r="B21" s="812" t="s">
        <v>700</v>
      </c>
      <c r="C21" s="813" t="s">
        <v>45</v>
      </c>
      <c r="D21" s="609">
        <v>692500.82471408136</v>
      </c>
      <c r="E21" s="609">
        <v>656336.19304849114</v>
      </c>
      <c r="F21" s="609">
        <v>620171.56138290104</v>
      </c>
      <c r="G21" s="609">
        <v>584006.92971731059</v>
      </c>
      <c r="H21" s="609">
        <v>551078.29091562773</v>
      </c>
      <c r="I21" s="609">
        <v>518435.76092812227</v>
      </c>
    </row>
    <row r="22" spans="2:9">
      <c r="B22" s="893" t="s">
        <v>344</v>
      </c>
      <c r="C22" s="806" t="s">
        <v>45</v>
      </c>
      <c r="D22" s="894">
        <v>85638.465239799247</v>
      </c>
      <c r="E22" s="894">
        <v>95963.652920841458</v>
      </c>
      <c r="F22" s="894">
        <v>93422.269792145336</v>
      </c>
      <c r="G22" s="894">
        <v>95986.790576851607</v>
      </c>
      <c r="H22" s="894">
        <v>93280.413587443501</v>
      </c>
      <c r="I22" s="894">
        <v>90574.036598035367</v>
      </c>
    </row>
    <row r="23" spans="2:9">
      <c r="C23" s="817"/>
      <c r="D23" s="592"/>
      <c r="E23" s="592"/>
      <c r="F23" s="592"/>
      <c r="G23" s="592"/>
      <c r="H23" s="592"/>
      <c r="I23" s="592"/>
    </row>
    <row r="24" spans="2:9" s="933" customFormat="1">
      <c r="B24" s="932" t="s">
        <v>343</v>
      </c>
    </row>
    <row r="25" spans="2:9" ht="13.5" thickBot="1">
      <c r="B25" s="602" t="s">
        <v>341</v>
      </c>
    </row>
    <row r="26" spans="2:9" ht="13.5" thickBot="1">
      <c r="B26" s="606" t="s">
        <v>342</v>
      </c>
      <c r="C26" s="802" t="s">
        <v>38</v>
      </c>
      <c r="D26" s="802">
        <f>D$6</f>
        <v>2024</v>
      </c>
      <c r="E26" s="802">
        <f t="shared" ref="E26:I26" si="3">E$6</f>
        <v>2025</v>
      </c>
      <c r="F26" s="802">
        <f t="shared" si="3"/>
        <v>2026</v>
      </c>
      <c r="G26" s="802">
        <f t="shared" si="3"/>
        <v>2027</v>
      </c>
      <c r="H26" s="802">
        <f t="shared" si="3"/>
        <v>2028</v>
      </c>
      <c r="I26" s="802">
        <f t="shared" si="3"/>
        <v>2029</v>
      </c>
    </row>
    <row r="27" spans="2:9">
      <c r="B27" s="811" t="s">
        <v>701</v>
      </c>
      <c r="C27" s="804" t="s">
        <v>45</v>
      </c>
      <c r="D27" s="610">
        <v>1604397.8320035401</v>
      </c>
      <c r="E27" s="610">
        <v>1604397.8320035401</v>
      </c>
      <c r="F27" s="616">
        <v>1604397.8320035401</v>
      </c>
      <c r="G27" s="610">
        <v>1604397.8320035401</v>
      </c>
      <c r="H27" s="610">
        <v>1604397.8320035401</v>
      </c>
      <c r="I27" s="615">
        <v>1604397.8320035401</v>
      </c>
    </row>
    <row r="28" spans="2:9">
      <c r="B28" s="815" t="s">
        <v>53</v>
      </c>
      <c r="C28" s="816" t="s">
        <v>45</v>
      </c>
      <c r="D28" s="613">
        <v>113196.85075048261</v>
      </c>
      <c r="E28" s="613">
        <v>125884.74919048262</v>
      </c>
      <c r="F28" s="614">
        <v>125884.74919048262</v>
      </c>
      <c r="G28" s="613">
        <v>131013.80519048261</v>
      </c>
      <c r="H28" s="613">
        <v>131013.80519048261</v>
      </c>
      <c r="I28" s="612">
        <v>131013.80519048261</v>
      </c>
    </row>
    <row r="29" spans="2:9">
      <c r="B29" s="809"/>
      <c r="C29" s="817"/>
      <c r="D29" s="611"/>
      <c r="E29" s="611"/>
      <c r="F29" s="611"/>
      <c r="G29" s="611"/>
      <c r="H29" s="611"/>
      <c r="I29" s="611"/>
    </row>
    <row r="30" spans="2:9" s="933" customFormat="1">
      <c r="B30" s="932" t="s">
        <v>484</v>
      </c>
    </row>
    <row r="31" spans="2:9">
      <c r="B31" s="602" t="s">
        <v>341</v>
      </c>
    </row>
    <row r="32" spans="2:9" ht="9" customHeight="1" thickBot="1">
      <c r="B32" s="819"/>
    </row>
    <row r="33" spans="1:9" ht="13.5" thickBot="1">
      <c r="B33" s="606" t="s">
        <v>702</v>
      </c>
      <c r="C33" s="802"/>
      <c r="D33" s="802"/>
      <c r="E33" s="802">
        <f>E6</f>
        <v>2025</v>
      </c>
      <c r="F33" s="802">
        <f>F6</f>
        <v>2026</v>
      </c>
      <c r="G33" s="802">
        <f>G6</f>
        <v>2027</v>
      </c>
      <c r="H33" s="802">
        <f>H6</f>
        <v>2028</v>
      </c>
      <c r="I33" s="802">
        <f>I6</f>
        <v>2029</v>
      </c>
    </row>
    <row r="34" spans="1:9">
      <c r="B34" s="820" t="s">
        <v>58</v>
      </c>
      <c r="C34" s="804" t="s">
        <v>45</v>
      </c>
      <c r="D34" s="820"/>
      <c r="E34" s="610">
        <v>28018.372376831474</v>
      </c>
      <c r="F34" s="610">
        <v>28018.372376831474</v>
      </c>
      <c r="G34" s="610">
        <v>28018.372376831474</v>
      </c>
      <c r="H34" s="610">
        <v>28018.372376831474</v>
      </c>
      <c r="I34" s="610">
        <v>28018.372376831474</v>
      </c>
    </row>
    <row r="35" spans="1:9">
      <c r="B35" s="821" t="s">
        <v>59</v>
      </c>
      <c r="C35" s="813" t="s">
        <v>45</v>
      </c>
      <c r="D35" s="821"/>
      <c r="E35" s="609">
        <v>13207.398117267112</v>
      </c>
      <c r="F35" s="609">
        <v>13207.398117267112</v>
      </c>
      <c r="G35" s="609">
        <v>13207.398117267112</v>
      </c>
      <c r="H35" s="609">
        <v>13207.398117267112</v>
      </c>
      <c r="I35" s="609">
        <v>13207.398117267112</v>
      </c>
    </row>
    <row r="36" spans="1:9">
      <c r="B36" s="821" t="s">
        <v>60</v>
      </c>
      <c r="C36" s="813" t="s">
        <v>45</v>
      </c>
      <c r="D36" s="821"/>
      <c r="E36" s="609">
        <v>36164.631665590256</v>
      </c>
      <c r="F36" s="609">
        <v>36164.631665590256</v>
      </c>
      <c r="G36" s="609">
        <v>36164.631665590256</v>
      </c>
      <c r="H36" s="609">
        <v>32928.638801682784</v>
      </c>
      <c r="I36" s="609">
        <v>32642.529987505564</v>
      </c>
    </row>
    <row r="37" spans="1:9">
      <c r="B37" s="821" t="s">
        <v>61</v>
      </c>
      <c r="C37" s="813" t="s">
        <v>45</v>
      </c>
      <c r="D37" s="821"/>
      <c r="E37" s="609">
        <v>66480.079172551807</v>
      </c>
      <c r="F37" s="609">
        <v>63008.274532655152</v>
      </c>
      <c r="G37" s="609">
        <v>59536.469892758498</v>
      </c>
      <c r="H37" s="609">
        <v>56064.665252861814</v>
      </c>
      <c r="I37" s="609">
        <v>52903.515927900262</v>
      </c>
    </row>
    <row r="38" spans="1:9" ht="13.5" thickBot="1">
      <c r="B38" s="822" t="s">
        <v>246</v>
      </c>
      <c r="C38" s="814" t="s">
        <v>45</v>
      </c>
      <c r="D38" s="822"/>
      <c r="E38" s="609">
        <v>15</v>
      </c>
      <c r="F38" s="609">
        <v>75</v>
      </c>
      <c r="G38" s="609">
        <v>75</v>
      </c>
      <c r="H38" s="609">
        <v>75</v>
      </c>
      <c r="I38" s="609">
        <v>15</v>
      </c>
    </row>
    <row r="39" spans="1:9" ht="13.5" thickBot="1">
      <c r="B39" s="824" t="s">
        <v>15</v>
      </c>
      <c r="C39" s="825"/>
      <c r="D39" s="825"/>
      <c r="E39" s="826">
        <f>SUM(E34:E38)</f>
        <v>143885.48133224066</v>
      </c>
      <c r="F39" s="826">
        <f>SUM(F34:F38)</f>
        <v>140473.67669234402</v>
      </c>
      <c r="G39" s="826">
        <f>SUM(G34:G38)</f>
        <v>137001.87205244735</v>
      </c>
      <c r="H39" s="826">
        <f>SUM(H34:H38)</f>
        <v>130294.07454864318</v>
      </c>
      <c r="I39" s="826">
        <f>SUM(I34:I38)</f>
        <v>126786.81640950442</v>
      </c>
    </row>
    <row r="40" spans="1:9" ht="13.5" thickBot="1">
      <c r="A40" s="827"/>
      <c r="B40" s="828"/>
      <c r="C40" s="827"/>
      <c r="D40" s="827"/>
      <c r="E40" s="829"/>
      <c r="F40" s="829"/>
      <c r="G40" s="829"/>
      <c r="H40" s="829"/>
      <c r="I40" s="829"/>
    </row>
    <row r="41" spans="1:9" ht="13.5" thickBot="1">
      <c r="A41" s="827"/>
      <c r="B41" s="606" t="s">
        <v>497</v>
      </c>
      <c r="C41" s="802"/>
      <c r="D41" s="802"/>
      <c r="E41" s="802">
        <f>E6</f>
        <v>2025</v>
      </c>
      <c r="F41" s="802">
        <f>F6</f>
        <v>2026</v>
      </c>
      <c r="G41" s="802">
        <f>G6</f>
        <v>2027</v>
      </c>
      <c r="H41" s="802">
        <f>H6</f>
        <v>2028</v>
      </c>
      <c r="I41" s="802">
        <f>I6</f>
        <v>2029</v>
      </c>
    </row>
    <row r="42" spans="1:9">
      <c r="A42" s="827"/>
      <c r="B42" s="820" t="s">
        <v>58</v>
      </c>
      <c r="C42" s="804" t="s">
        <v>45</v>
      </c>
      <c r="D42" s="820"/>
      <c r="E42" s="895">
        <v>12608.267569574164</v>
      </c>
      <c r="F42" s="610">
        <v>12608.267569574164</v>
      </c>
      <c r="G42" s="610">
        <v>12608.267569574164</v>
      </c>
      <c r="H42" s="610">
        <v>12608.267569574164</v>
      </c>
      <c r="I42" s="610">
        <v>12608.267569574164</v>
      </c>
    </row>
    <row r="43" spans="1:9">
      <c r="A43" s="827"/>
      <c r="B43" s="821" t="s">
        <v>59</v>
      </c>
      <c r="C43" s="813" t="s">
        <v>45</v>
      </c>
      <c r="D43" s="821"/>
      <c r="E43" s="609">
        <v>5943.3291527702004</v>
      </c>
      <c r="F43" s="609">
        <v>5943.3291527702004</v>
      </c>
      <c r="G43" s="609">
        <v>5943.3291527702004</v>
      </c>
      <c r="H43" s="609">
        <v>5943.3291527702004</v>
      </c>
      <c r="I43" s="609">
        <v>5943.3291527702004</v>
      </c>
    </row>
    <row r="44" spans="1:9">
      <c r="A44" s="827"/>
      <c r="B44" s="821" t="s">
        <v>60</v>
      </c>
      <c r="C44" s="813" t="s">
        <v>45</v>
      </c>
      <c r="D44" s="821"/>
      <c r="E44" s="609">
        <v>16274.084249515616</v>
      </c>
      <c r="F44" s="609">
        <v>16274.084249515616</v>
      </c>
      <c r="G44" s="609">
        <v>16274.084249515616</v>
      </c>
      <c r="H44" s="609">
        <v>14817.887460757252</v>
      </c>
      <c r="I44" s="609">
        <v>14689.138494377505</v>
      </c>
    </row>
    <row r="45" spans="1:9">
      <c r="A45" s="827"/>
      <c r="B45" s="821" t="s">
        <v>61</v>
      </c>
      <c r="C45" s="813" t="s">
        <v>45</v>
      </c>
      <c r="D45" s="821"/>
      <c r="E45" s="609">
        <v>29916.035627648314</v>
      </c>
      <c r="F45" s="609">
        <v>28353.72353969482</v>
      </c>
      <c r="G45" s="609">
        <v>26791.411451741325</v>
      </c>
      <c r="H45" s="609">
        <v>25229.099363787816</v>
      </c>
      <c r="I45" s="609">
        <v>23806.58216755512</v>
      </c>
    </row>
    <row r="46" spans="1:9" ht="13.5" thickBot="1">
      <c r="A46" s="827"/>
      <c r="B46" s="822" t="s">
        <v>246</v>
      </c>
      <c r="C46" s="814" t="s">
        <v>45</v>
      </c>
      <c r="D46" s="822"/>
      <c r="E46" s="609">
        <v>6.75</v>
      </c>
      <c r="F46" s="609">
        <v>33.75</v>
      </c>
      <c r="G46" s="609">
        <v>33.75</v>
      </c>
      <c r="H46" s="609">
        <v>33.75</v>
      </c>
      <c r="I46" s="609">
        <v>6.75</v>
      </c>
    </row>
    <row r="47" spans="1:9" ht="13.5" thickBot="1">
      <c r="A47" s="827"/>
      <c r="B47" s="824" t="s">
        <v>15</v>
      </c>
      <c r="C47" s="825"/>
      <c r="D47" s="825"/>
      <c r="E47" s="826">
        <f>SUM(E42:E46)</f>
        <v>64748.466599508298</v>
      </c>
      <c r="F47" s="826">
        <f>SUM(F42:F46)</f>
        <v>63213.154511554807</v>
      </c>
      <c r="G47" s="826">
        <f>SUM(G42:G46)</f>
        <v>61650.842423601309</v>
      </c>
      <c r="H47" s="826">
        <f>SUM(H42:H46)</f>
        <v>58632.333546889437</v>
      </c>
      <c r="I47" s="826">
        <f>SUM(I42:I46)</f>
        <v>57054.06738427699</v>
      </c>
    </row>
    <row r="48" spans="1:9" ht="13.5" thickBot="1">
      <c r="A48" s="827"/>
      <c r="B48" s="828"/>
      <c r="C48" s="827"/>
      <c r="D48" s="827"/>
      <c r="E48" s="829"/>
      <c r="F48" s="829"/>
      <c r="G48" s="829"/>
      <c r="H48" s="829"/>
      <c r="I48" s="829"/>
    </row>
    <row r="49" spans="1:10" ht="13.5" thickBot="1">
      <c r="A49" s="827"/>
      <c r="B49" s="606" t="s">
        <v>498</v>
      </c>
      <c r="C49" s="802"/>
      <c r="D49" s="802"/>
      <c r="E49" s="802">
        <f>E6</f>
        <v>2025</v>
      </c>
      <c r="F49" s="802">
        <f>F6</f>
        <v>2026</v>
      </c>
      <c r="G49" s="802">
        <f>G6</f>
        <v>2027</v>
      </c>
      <c r="H49" s="802">
        <f>H6</f>
        <v>2028</v>
      </c>
      <c r="I49" s="802">
        <f>I6</f>
        <v>2029</v>
      </c>
    </row>
    <row r="50" spans="1:10">
      <c r="A50" s="827"/>
      <c r="B50" s="820" t="s">
        <v>58</v>
      </c>
      <c r="C50" s="804" t="s">
        <v>45</v>
      </c>
      <c r="D50" s="820"/>
      <c r="E50" s="895">
        <v>15410.104807257312</v>
      </c>
      <c r="F50" s="610">
        <v>15410.104807257312</v>
      </c>
      <c r="G50" s="610">
        <v>15410.104807257312</v>
      </c>
      <c r="H50" s="610">
        <v>15410.104807257312</v>
      </c>
      <c r="I50" s="610">
        <v>15410.104807257312</v>
      </c>
    </row>
    <row r="51" spans="1:10">
      <c r="A51" s="827"/>
      <c r="B51" s="821" t="s">
        <v>59</v>
      </c>
      <c r="C51" s="813" t="s">
        <v>45</v>
      </c>
      <c r="D51" s="821"/>
      <c r="E51" s="609">
        <v>7264.0689644969125</v>
      </c>
      <c r="F51" s="609">
        <v>7264.0689644969125</v>
      </c>
      <c r="G51" s="609">
        <v>7264.0689644969125</v>
      </c>
      <c r="H51" s="609">
        <v>7264.0689644969125</v>
      </c>
      <c r="I51" s="609">
        <v>7264.0689644969125</v>
      </c>
    </row>
    <row r="52" spans="1:10">
      <c r="A52" s="827"/>
      <c r="B52" s="821" t="s">
        <v>60</v>
      </c>
      <c r="C52" s="813" t="s">
        <v>45</v>
      </c>
      <c r="D52" s="821"/>
      <c r="E52" s="609">
        <v>19890.547416074642</v>
      </c>
      <c r="F52" s="609">
        <v>19890.547416074642</v>
      </c>
      <c r="G52" s="609">
        <v>19890.547416074642</v>
      </c>
      <c r="H52" s="609">
        <v>18110.751340925533</v>
      </c>
      <c r="I52" s="609">
        <v>17953.391493128063</v>
      </c>
    </row>
    <row r="53" spans="1:10">
      <c r="A53" s="827"/>
      <c r="B53" s="821" t="s">
        <v>61</v>
      </c>
      <c r="C53" s="813" t="s">
        <v>45</v>
      </c>
      <c r="D53" s="821"/>
      <c r="E53" s="609">
        <v>36564.043544903499</v>
      </c>
      <c r="F53" s="609">
        <v>34654.550992960336</v>
      </c>
      <c r="G53" s="609">
        <v>32745.058441017176</v>
      </c>
      <c r="H53" s="609">
        <v>30835.565889074001</v>
      </c>
      <c r="I53" s="609">
        <v>29096.933760345146</v>
      </c>
    </row>
    <row r="54" spans="1:10">
      <c r="A54" s="827"/>
      <c r="B54" s="822" t="s">
        <v>246</v>
      </c>
      <c r="C54" s="814" t="s">
        <v>45</v>
      </c>
      <c r="D54" s="822"/>
      <c r="E54" s="609">
        <v>8.25</v>
      </c>
      <c r="F54" s="609">
        <v>41.25</v>
      </c>
      <c r="G54" s="609">
        <v>41.25</v>
      </c>
      <c r="H54" s="609">
        <v>41.25</v>
      </c>
      <c r="I54" s="609">
        <v>8.25</v>
      </c>
    </row>
    <row r="55" spans="1:10" ht="13.5" thickBot="1">
      <c r="A55" s="827"/>
      <c r="B55" s="896" t="s">
        <v>340</v>
      </c>
      <c r="C55" s="897" t="s">
        <v>45</v>
      </c>
      <c r="D55" s="896"/>
      <c r="E55" s="607">
        <v>-6188.872545107246</v>
      </c>
      <c r="F55" s="607">
        <v>-6188.872545107246</v>
      </c>
      <c r="G55" s="607">
        <v>-6188.872545107246</v>
      </c>
      <c r="H55" s="607">
        <v>-6188.872545107246</v>
      </c>
      <c r="I55" s="607">
        <v>-6188.872545107246</v>
      </c>
      <c r="J55" s="831"/>
    </row>
    <row r="56" spans="1:10" ht="13.5" thickBot="1">
      <c r="A56" s="827"/>
      <c r="B56" s="824" t="s">
        <v>15</v>
      </c>
      <c r="C56" s="825"/>
      <c r="D56" s="825"/>
      <c r="E56" s="826">
        <f>SUM(E50:E55)</f>
        <v>72948.142187625112</v>
      </c>
      <c r="F56" s="826">
        <f t="shared" ref="F56:I56" si="4">SUM(F50:F55)</f>
        <v>71071.64963568197</v>
      </c>
      <c r="G56" s="826">
        <f t="shared" si="4"/>
        <v>69162.157083738799</v>
      </c>
      <c r="H56" s="826">
        <f t="shared" si="4"/>
        <v>65472.868456646516</v>
      </c>
      <c r="I56" s="826">
        <f t="shared" si="4"/>
        <v>63543.876480120183</v>
      </c>
    </row>
    <row r="57" spans="1:10" ht="13.5" thickBot="1">
      <c r="A57" s="827"/>
      <c r="B57" s="828"/>
      <c r="C57" s="827"/>
      <c r="D57" s="827"/>
      <c r="E57" s="829"/>
      <c r="F57" s="829"/>
      <c r="G57" s="829"/>
      <c r="H57" s="829"/>
      <c r="I57" s="829"/>
    </row>
    <row r="58" spans="1:10" ht="13.5" thickBot="1">
      <c r="B58" s="606" t="s">
        <v>499</v>
      </c>
      <c r="C58" s="802"/>
      <c r="D58" s="802"/>
      <c r="E58" s="802">
        <f>E6</f>
        <v>2025</v>
      </c>
      <c r="F58" s="802">
        <f>F6</f>
        <v>2026</v>
      </c>
      <c r="G58" s="802">
        <f>G6</f>
        <v>2027</v>
      </c>
      <c r="H58" s="802">
        <f>H6</f>
        <v>2028</v>
      </c>
      <c r="I58" s="802">
        <f>I6</f>
        <v>2029</v>
      </c>
    </row>
    <row r="59" spans="1:10">
      <c r="B59" s="820" t="s">
        <v>58</v>
      </c>
      <c r="C59" s="804" t="s">
        <v>45</v>
      </c>
      <c r="D59" s="820"/>
      <c r="E59" s="610">
        <v>1976.8111455567207</v>
      </c>
      <c r="F59" s="610">
        <v>2198.3860293418757</v>
      </c>
      <c r="G59" s="610">
        <v>2198.3860293418757</v>
      </c>
      <c r="H59" s="610">
        <v>2287.9572055695089</v>
      </c>
      <c r="I59" s="610">
        <v>2287.9572055695089</v>
      </c>
    </row>
    <row r="60" spans="1:10">
      <c r="B60" s="821" t="s">
        <v>59</v>
      </c>
      <c r="C60" s="813" t="s">
        <v>45</v>
      </c>
      <c r="D60" s="821"/>
      <c r="E60" s="609">
        <v>931.83613419342464</v>
      </c>
      <c r="F60" s="609">
        <v>1036.2828759091431</v>
      </c>
      <c r="G60" s="609">
        <v>1036.2828759091431</v>
      </c>
      <c r="H60" s="609">
        <v>1078.5052494417496</v>
      </c>
      <c r="I60" s="609">
        <v>1078.5052494417496</v>
      </c>
    </row>
    <row r="61" spans="1:10">
      <c r="B61" s="821" t="s">
        <v>60</v>
      </c>
      <c r="C61" s="813" t="s">
        <v>45</v>
      </c>
      <c r="D61" s="821"/>
      <c r="E61" s="609">
        <v>2305.4387534611606</v>
      </c>
      <c r="F61" s="609">
        <v>2541.3831286961231</v>
      </c>
      <c r="G61" s="609">
        <v>2541.3831286961231</v>
      </c>
      <c r="H61" s="609">
        <v>2706.3769894081188</v>
      </c>
      <c r="I61" s="609">
        <v>2706.3769894081188</v>
      </c>
    </row>
    <row r="62" spans="1:10">
      <c r="B62" s="821" t="s">
        <v>61</v>
      </c>
      <c r="C62" s="813" t="s">
        <v>45</v>
      </c>
      <c r="D62" s="821"/>
      <c r="E62" s="609">
        <v>8221.2926630207276</v>
      </c>
      <c r="F62" s="609">
        <v>9212.510680400781</v>
      </c>
      <c r="G62" s="609">
        <v>8968.5379000459525</v>
      </c>
      <c r="H62" s="609">
        <v>9214.731895377754</v>
      </c>
      <c r="I62" s="609">
        <v>8954.9197043945769</v>
      </c>
    </row>
    <row r="63" spans="1:10" ht="13.5" thickBot="1">
      <c r="B63" s="821" t="s">
        <v>500</v>
      </c>
      <c r="C63" s="813" t="s">
        <v>45</v>
      </c>
      <c r="D63" s="821"/>
      <c r="E63" s="609">
        <v>-2287</v>
      </c>
      <c r="F63" s="609">
        <v>-2286.9242234198659</v>
      </c>
      <c r="G63" s="609">
        <v>-2286.9242234198659</v>
      </c>
      <c r="H63" s="609">
        <v>-2286.9242234198659</v>
      </c>
      <c r="I63" s="609">
        <v>-2286.9242234198659</v>
      </c>
      <c r="J63" s="831"/>
    </row>
    <row r="64" spans="1:10" ht="13.5" hidden="1" thickBot="1">
      <c r="B64" s="830"/>
      <c r="C64" s="813"/>
      <c r="D64" s="830"/>
      <c r="E64" s="608"/>
      <c r="F64" s="608"/>
      <c r="G64" s="608"/>
      <c r="I64" s="607"/>
    </row>
    <row r="65" spans="2:11" ht="13.5" thickBot="1">
      <c r="B65" s="824" t="s">
        <v>15</v>
      </c>
      <c r="C65" s="824"/>
      <c r="D65" s="824"/>
      <c r="E65" s="826">
        <f>SUM(E59:E63)</f>
        <v>11148.378696232034</v>
      </c>
      <c r="F65" s="826">
        <f t="shared" ref="F65:I65" si="5">SUM(F59:F63)</f>
        <v>12701.638490928057</v>
      </c>
      <c r="G65" s="826">
        <f t="shared" si="5"/>
        <v>12457.665710573228</v>
      </c>
      <c r="H65" s="826">
        <f t="shared" si="5"/>
        <v>13000.647116377264</v>
      </c>
      <c r="I65" s="826">
        <f t="shared" si="5"/>
        <v>12740.834925394089</v>
      </c>
    </row>
    <row r="66" spans="2:11" ht="13.5" thickBot="1">
      <c r="B66" s="828"/>
      <c r="C66" s="827"/>
      <c r="D66" s="827"/>
      <c r="E66" s="829"/>
      <c r="F66" s="829"/>
      <c r="G66" s="829"/>
      <c r="H66" s="829"/>
      <c r="I66" s="829"/>
    </row>
    <row r="67" spans="2:11" ht="13.5" thickBot="1">
      <c r="B67" s="606" t="s">
        <v>501</v>
      </c>
      <c r="C67" s="802"/>
      <c r="D67" s="802"/>
      <c r="E67" s="802">
        <f>E6</f>
        <v>2025</v>
      </c>
      <c r="F67" s="802">
        <f>F6</f>
        <v>2026</v>
      </c>
      <c r="G67" s="802">
        <f>G6</f>
        <v>2027</v>
      </c>
      <c r="H67" s="802">
        <f>H6</f>
        <v>2028</v>
      </c>
      <c r="I67" s="802">
        <f>I6</f>
        <v>2029</v>
      </c>
    </row>
    <row r="68" spans="2:11" ht="13.5" thickBot="1">
      <c r="B68" s="820" t="s">
        <v>71</v>
      </c>
      <c r="C68" s="804" t="s">
        <v>45</v>
      </c>
      <c r="D68" s="820"/>
      <c r="E68" s="898">
        <v>4382.2173842019374</v>
      </c>
      <c r="F68" s="898">
        <v>11604.984503536109</v>
      </c>
      <c r="G68" s="898">
        <v>12842.060647972949</v>
      </c>
      <c r="H68" s="898">
        <v>13753.760805191368</v>
      </c>
      <c r="I68" s="898">
        <v>4732.1102772479862</v>
      </c>
    </row>
    <row r="69" spans="2:11" ht="13.5" thickBot="1">
      <c r="B69" s="832" t="s">
        <v>15</v>
      </c>
      <c r="C69" s="824"/>
      <c r="D69" s="824"/>
      <c r="E69" s="899">
        <f>SUM(E68:E68)</f>
        <v>4382.2173842019374</v>
      </c>
      <c r="F69" s="899">
        <f>SUM(F68:F68)</f>
        <v>11604.984503536109</v>
      </c>
      <c r="G69" s="899">
        <f>SUM(G68:G68)</f>
        <v>12842.060647972949</v>
      </c>
      <c r="H69" s="899">
        <f>SUM(H68:H68)</f>
        <v>13753.760805191368</v>
      </c>
      <c r="I69" s="899">
        <f>SUM(I68:I68)</f>
        <v>4732.1102772479862</v>
      </c>
      <c r="J69" s="819"/>
      <c r="K69" s="819"/>
    </row>
    <row r="70" spans="2:11" ht="13.5" thickBot="1">
      <c r="B70" s="828"/>
      <c r="C70" s="827"/>
      <c r="D70" s="827"/>
      <c r="E70" s="829"/>
      <c r="F70" s="829"/>
      <c r="G70" s="829"/>
      <c r="H70" s="829"/>
      <c r="I70" s="829"/>
      <c r="J70" s="819"/>
      <c r="K70" s="819"/>
    </row>
    <row r="71" spans="2:11" ht="13.5" thickBot="1">
      <c r="B71" s="606" t="s">
        <v>485</v>
      </c>
      <c r="C71" s="833"/>
      <c r="D71" s="802" t="s">
        <v>339</v>
      </c>
      <c r="E71" s="802" t="s">
        <v>502</v>
      </c>
      <c r="F71" s="802" t="s">
        <v>503</v>
      </c>
      <c r="G71" s="802" t="s">
        <v>504</v>
      </c>
      <c r="H71" s="802" t="s">
        <v>505</v>
      </c>
      <c r="I71" s="829"/>
      <c r="J71" s="834"/>
      <c r="K71" s="834"/>
    </row>
    <row r="72" spans="2:11">
      <c r="B72" s="835" t="s">
        <v>506</v>
      </c>
      <c r="C72" s="836" t="s">
        <v>45</v>
      </c>
      <c r="D72" s="837">
        <f>NPV($D$11,E72:H72)</f>
        <v>196125.70285993628</v>
      </c>
      <c r="E72" s="837">
        <v>63984.435555531556</v>
      </c>
      <c r="F72" s="837">
        <v>62431.998467578058</v>
      </c>
      <c r="G72" s="837">
        <v>60141.587985245373</v>
      </c>
      <c r="H72" s="837">
        <v>57846.575465583213</v>
      </c>
      <c r="I72" s="829"/>
      <c r="J72" s="838"/>
      <c r="K72" s="838"/>
    </row>
    <row r="73" spans="2:11">
      <c r="B73" s="839" t="s">
        <v>338</v>
      </c>
      <c r="C73" s="840" t="s">
        <v>45</v>
      </c>
      <c r="D73" s="841">
        <f>NPV($D$11,E73:H73)</f>
        <v>219919.94034166689</v>
      </c>
      <c r="E73" s="841">
        <v>72014.020911653541</v>
      </c>
      <c r="F73" s="841">
        <v>70116.903359710384</v>
      </c>
      <c r="G73" s="841">
        <v>67317.512770192654</v>
      </c>
      <c r="H73" s="841">
        <v>64512.49746838335</v>
      </c>
      <c r="I73" s="829"/>
      <c r="J73" s="838"/>
      <c r="K73" s="838"/>
    </row>
    <row r="74" spans="2:11">
      <c r="B74" s="839" t="s">
        <v>507</v>
      </c>
      <c r="C74" s="840" t="s">
        <v>45</v>
      </c>
      <c r="D74" s="841">
        <f>NPV(D11,E74:H74)</f>
        <v>196125.70285993628</v>
      </c>
      <c r="E74" s="841">
        <v>61337.036662583872</v>
      </c>
      <c r="F74" s="841">
        <v>61337.036662583872</v>
      </c>
      <c r="G74" s="841">
        <v>61337.036662583872</v>
      </c>
      <c r="H74" s="841">
        <v>61337.036662583872</v>
      </c>
      <c r="I74" s="829"/>
      <c r="J74" s="838"/>
      <c r="K74" s="838"/>
    </row>
    <row r="75" spans="2:11">
      <c r="B75" s="842" t="s">
        <v>337</v>
      </c>
      <c r="C75" s="843" t="s">
        <v>45</v>
      </c>
      <c r="D75" s="844">
        <f>NPV(D11,E75:H75)</f>
        <v>219919.94034166684</v>
      </c>
      <c r="E75" s="844">
        <v>68778.529518914991</v>
      </c>
      <c r="F75" s="844">
        <v>68778.529518914991</v>
      </c>
      <c r="G75" s="844">
        <v>68778.529518914991</v>
      </c>
      <c r="H75" s="844">
        <v>68778.529518914991</v>
      </c>
      <c r="I75" s="829"/>
      <c r="J75" s="845"/>
      <c r="K75" s="845"/>
    </row>
    <row r="76" spans="2:11" ht="13.5" thickBot="1">
      <c r="B76" s="828"/>
      <c r="C76" s="827"/>
      <c r="D76" s="829"/>
      <c r="E76" s="829"/>
      <c r="F76" s="829"/>
      <c r="G76" s="829"/>
      <c r="H76" s="829"/>
      <c r="I76" s="829"/>
      <c r="J76" s="845"/>
      <c r="K76" s="845"/>
    </row>
    <row r="77" spans="2:11" ht="13.5" thickBot="1">
      <c r="B77" s="606" t="s">
        <v>486</v>
      </c>
      <c r="C77" s="802"/>
      <c r="D77" s="802" t="s">
        <v>695</v>
      </c>
      <c r="E77" s="802" t="str">
        <f>E71</f>
        <v>jul25-jun26</v>
      </c>
      <c r="F77" s="802" t="str">
        <f t="shared" ref="F77:H77" si="6">F71</f>
        <v>jul26-jun27</v>
      </c>
      <c r="G77" s="802" t="str">
        <f t="shared" si="6"/>
        <v>jul27-jun28</v>
      </c>
      <c r="H77" s="802" t="str">
        <f t="shared" si="6"/>
        <v>jul28-jun29</v>
      </c>
    </row>
    <row r="78" spans="2:11">
      <c r="B78" s="846" t="s">
        <v>508</v>
      </c>
      <c r="C78" s="840" t="s">
        <v>45</v>
      </c>
      <c r="D78" s="847">
        <f>SUM(E78:H78)</f>
        <v>244404.59747393819</v>
      </c>
      <c r="E78" s="847">
        <v>63984.435555531556</v>
      </c>
      <c r="F78" s="847">
        <v>62431.998467578058</v>
      </c>
      <c r="G78" s="847">
        <v>60141.587985245373</v>
      </c>
      <c r="H78" s="847">
        <v>57846.575465583213</v>
      </c>
      <c r="I78" s="900"/>
      <c r="J78" s="935"/>
      <c r="K78" s="935"/>
    </row>
    <row r="79" spans="2:11">
      <c r="B79" s="846" t="s">
        <v>487</v>
      </c>
      <c r="C79" s="840" t="s">
        <v>45</v>
      </c>
      <c r="D79" s="847">
        <f>SUM(E79:H79)</f>
        <v>273960.93450993992</v>
      </c>
      <c r="E79" s="847">
        <v>72014.020911653541</v>
      </c>
      <c r="F79" s="847">
        <v>70116.903359710384</v>
      </c>
      <c r="G79" s="847">
        <v>67317.512770192654</v>
      </c>
      <c r="H79" s="847">
        <v>64512.49746838335</v>
      </c>
      <c r="I79" s="900"/>
    </row>
    <row r="80" spans="2:11" ht="14.25" customHeight="1">
      <c r="B80" s="846" t="s">
        <v>62</v>
      </c>
      <c r="C80" s="840" t="s">
        <v>45</v>
      </c>
      <c r="D80" s="847">
        <f>SUM(E80:H80)</f>
        <v>50104.596016981675</v>
      </c>
      <c r="E80" s="847">
        <v>11925.046481870111</v>
      </c>
      <c r="F80" s="847">
        <v>12579.652100750642</v>
      </c>
      <c r="G80" s="847">
        <v>12729.156413475246</v>
      </c>
      <c r="H80" s="847">
        <v>12870.741020885676</v>
      </c>
      <c r="I80" s="603"/>
    </row>
    <row r="81" spans="2:11" ht="13.5" thickBot="1">
      <c r="B81" s="846" t="s">
        <v>488</v>
      </c>
      <c r="C81" s="840" t="s">
        <v>45</v>
      </c>
      <c r="D81" s="847">
        <f>SUM(E81:H81)</f>
        <v>47315.13361815035</v>
      </c>
      <c r="E81" s="847">
        <v>9916.9444077084809</v>
      </c>
      <c r="F81" s="847">
        <v>12234.249070059135</v>
      </c>
      <c r="G81" s="847">
        <v>13531.260254657622</v>
      </c>
      <c r="H81" s="847">
        <v>11632.679885725114</v>
      </c>
      <c r="I81" s="603"/>
      <c r="J81" s="935"/>
      <c r="K81" s="935"/>
    </row>
    <row r="82" spans="2:11" ht="13.5" thickBot="1">
      <c r="B82" s="824" t="s">
        <v>334</v>
      </c>
      <c r="C82" s="848" t="s">
        <v>45</v>
      </c>
      <c r="D82" s="826">
        <f>SUM(D78:D81)</f>
        <v>615785.26161901013</v>
      </c>
      <c r="E82" s="826">
        <f>E78+E79+E80+E81</f>
        <v>157840.4473567637</v>
      </c>
      <c r="F82" s="826">
        <f>F78+F79+F80+F81</f>
        <v>157362.80299809822</v>
      </c>
      <c r="G82" s="826">
        <f>G78+G79+G80+G81</f>
        <v>153719.51742357091</v>
      </c>
      <c r="H82" s="826">
        <f>H78+H79+H80+H81</f>
        <v>146862.49384057734</v>
      </c>
      <c r="I82" s="603"/>
    </row>
    <row r="83" spans="2:11" ht="13.5" thickBot="1">
      <c r="B83" s="828"/>
      <c r="C83" s="827"/>
      <c r="D83" s="827"/>
      <c r="E83" s="829"/>
      <c r="F83" s="829"/>
      <c r="G83" s="829"/>
      <c r="H83" s="829"/>
      <c r="I83" s="829"/>
    </row>
    <row r="84" spans="2:11" ht="15.75" customHeight="1" thickBot="1">
      <c r="B84" s="975" t="s">
        <v>69</v>
      </c>
      <c r="C84" s="976"/>
      <c r="D84" s="977"/>
      <c r="E84" s="849" t="str">
        <f>+E77</f>
        <v>jul25-jun26</v>
      </c>
      <c r="F84" s="802" t="str">
        <f>+F77</f>
        <v>jul26-jun27</v>
      </c>
      <c r="G84" s="802" t="str">
        <f>+G77</f>
        <v>jul27-jun28</v>
      </c>
      <c r="H84" s="802" t="str">
        <f>+H77</f>
        <v>jul28-jun29</v>
      </c>
      <c r="I84" s="850"/>
    </row>
    <row r="85" spans="2:11" ht="15" customHeight="1" thickBot="1">
      <c r="B85" s="978"/>
      <c r="C85" s="979"/>
      <c r="D85" s="980"/>
      <c r="E85" s="851">
        <f>1/(1+D11)^0.5</f>
        <v>0.95520089987608769</v>
      </c>
      <c r="F85" s="852">
        <f>E85/(1+D11)</f>
        <v>0.87153366777015295</v>
      </c>
      <c r="G85" s="852">
        <f>F85/(1+D11)</f>
        <v>0.79519495234503002</v>
      </c>
      <c r="H85" s="853">
        <f>G85/(1+D11)</f>
        <v>0.72554283973086675</v>
      </c>
      <c r="I85" s="829"/>
    </row>
    <row r="86" spans="2:11" ht="9.75" customHeight="1" thickBot="1">
      <c r="B86" s="828"/>
      <c r="C86" s="827"/>
      <c r="D86" s="827"/>
      <c r="E86" s="829"/>
      <c r="F86" s="854"/>
      <c r="G86" s="829"/>
      <c r="H86" s="829"/>
      <c r="I86" s="829"/>
    </row>
    <row r="87" spans="2:11" ht="13.5" thickBot="1">
      <c r="B87" s="606" t="s">
        <v>336</v>
      </c>
      <c r="C87" s="802"/>
      <c r="D87" s="802" t="s">
        <v>335</v>
      </c>
      <c r="E87" s="802" t="str">
        <f>E71</f>
        <v>jul25-jun26</v>
      </c>
      <c r="F87" s="802" t="str">
        <f>F71</f>
        <v>jul26-jun27</v>
      </c>
      <c r="G87" s="802" t="str">
        <f>G71</f>
        <v>jul27-jun28</v>
      </c>
      <c r="H87" s="802" t="str">
        <f>H71</f>
        <v>jul28-jun29</v>
      </c>
      <c r="I87" s="605"/>
    </row>
    <row r="88" spans="2:11" ht="7.5" customHeight="1">
      <c r="B88" s="936"/>
      <c r="C88" s="836"/>
      <c r="D88" s="937"/>
      <c r="E88" s="837"/>
      <c r="F88" s="837"/>
      <c r="G88" s="837"/>
      <c r="H88" s="837"/>
      <c r="I88" s="603"/>
    </row>
    <row r="89" spans="2:11">
      <c r="B89" s="846" t="s">
        <v>508</v>
      </c>
      <c r="C89" s="840" t="s">
        <v>45</v>
      </c>
      <c r="D89" s="847">
        <f>SUM(E89:H89)</f>
        <v>205324.03485526293</v>
      </c>
      <c r="E89" s="847">
        <f t="shared" ref="E89:H91" si="7">E78*E$85</f>
        <v>61117.990420707283</v>
      </c>
      <c r="F89" s="847">
        <f t="shared" si="7"/>
        <v>54411.58861066887</v>
      </c>
      <c r="G89" s="847">
        <f t="shared" si="7"/>
        <v>47824.287191881624</v>
      </c>
      <c r="H89" s="847">
        <f t="shared" si="7"/>
        <v>41970.16863200513</v>
      </c>
      <c r="I89" s="603"/>
    </row>
    <row r="90" spans="2:11">
      <c r="B90" s="846" t="s">
        <v>487</v>
      </c>
      <c r="C90" s="840" t="s">
        <v>45</v>
      </c>
      <c r="D90" s="847">
        <f>SUM(E90:H90)</f>
        <v>230234.22650690115</v>
      </c>
      <c r="E90" s="847">
        <f t="shared" si="7"/>
        <v>68787.857578506853</v>
      </c>
      <c r="F90" s="847">
        <f t="shared" si="7"/>
        <v>61109.241957773753</v>
      </c>
      <c r="G90" s="847">
        <f t="shared" si="7"/>
        <v>53530.546359279295</v>
      </c>
      <c r="H90" s="847">
        <f t="shared" si="7"/>
        <v>46806.580611341211</v>
      </c>
    </row>
    <row r="91" spans="2:11">
      <c r="B91" s="855" t="s">
        <v>62</v>
      </c>
      <c r="C91" s="856" t="s">
        <v>45</v>
      </c>
      <c r="D91" s="857">
        <f>SUM(E91:H91)</f>
        <v>41814.840382526047</v>
      </c>
      <c r="E91" s="857">
        <f t="shared" si="7"/>
        <v>11390.815130546503</v>
      </c>
      <c r="F91" s="857">
        <f t="shared" si="7"/>
        <v>10963.590334639717</v>
      </c>
      <c r="G91" s="857">
        <f t="shared" si="7"/>
        <v>10122.160927605881</v>
      </c>
      <c r="H91" s="857">
        <f t="shared" si="7"/>
        <v>9338.2739897339488</v>
      </c>
      <c r="I91" s="858"/>
    </row>
    <row r="92" spans="2:11" ht="4.5" customHeight="1">
      <c r="B92" s="938"/>
      <c r="C92" s="840"/>
      <c r="D92" s="841"/>
      <c r="E92" s="841"/>
      <c r="F92" s="841"/>
      <c r="G92" s="841"/>
      <c r="H92" s="841"/>
      <c r="I92" s="603"/>
    </row>
    <row r="93" spans="2:11" ht="13.5" thickBot="1">
      <c r="B93" s="846" t="s">
        <v>489</v>
      </c>
      <c r="C93" s="840" t="s">
        <v>45</v>
      </c>
      <c r="D93" s="847">
        <f>SUM(E93:H93)</f>
        <v>39335.231638046294</v>
      </c>
      <c r="E93" s="847">
        <f>E81*E$85</f>
        <v>9472.674222264277</v>
      </c>
      <c r="F93" s="847">
        <f>F81*F$85</f>
        <v>10662.559964442222</v>
      </c>
      <c r="G93" s="847">
        <f>G81*G$85</f>
        <v>10759.989853370666</v>
      </c>
      <c r="H93" s="847">
        <f>H81*H$85</f>
        <v>8440.0075979691337</v>
      </c>
      <c r="I93" s="603"/>
    </row>
    <row r="94" spans="2:11" ht="13.5" thickBot="1">
      <c r="B94" s="859" t="s">
        <v>334</v>
      </c>
      <c r="C94" s="860" t="s">
        <v>45</v>
      </c>
      <c r="D94" s="861">
        <f>SUM(E94:H94)</f>
        <v>516708.33338273643</v>
      </c>
      <c r="E94" s="861">
        <f>E89+E90+E91+E93</f>
        <v>150769.33735202492</v>
      </c>
      <c r="F94" s="861">
        <f t="shared" ref="F94:H94" si="8">F89+F90+F91+F93</f>
        <v>137146.98086752454</v>
      </c>
      <c r="G94" s="861">
        <f t="shared" si="8"/>
        <v>122236.98433213748</v>
      </c>
      <c r="H94" s="861">
        <f t="shared" si="8"/>
        <v>106555.03083104941</v>
      </c>
    </row>
    <row r="95" spans="2:11" ht="10.5" customHeight="1"/>
    <row r="103" spans="2:9">
      <c r="B103" s="981"/>
      <c r="C103" s="981"/>
      <c r="D103" s="981"/>
      <c r="E103" s="981"/>
      <c r="F103" s="981"/>
      <c r="G103" s="981"/>
      <c r="H103" s="981"/>
      <c r="I103" s="981"/>
    </row>
    <row r="104" spans="2:9">
      <c r="B104" s="981"/>
      <c r="C104" s="981"/>
      <c r="D104" s="981"/>
      <c r="E104" s="981"/>
      <c r="F104" s="981"/>
      <c r="G104" s="981"/>
      <c r="H104" s="981"/>
      <c r="I104" s="981"/>
    </row>
    <row r="105" spans="2:9">
      <c r="B105" s="981"/>
      <c r="C105" s="981"/>
      <c r="D105" s="981"/>
      <c r="E105" s="981"/>
      <c r="F105" s="981"/>
      <c r="G105" s="981"/>
      <c r="H105" s="981"/>
      <c r="I105" s="981"/>
    </row>
    <row r="106" spans="2:9" ht="3" customHeight="1">
      <c r="B106" s="819"/>
    </row>
    <row r="107" spans="2:9" ht="3" customHeight="1">
      <c r="B107" s="819"/>
    </row>
    <row r="108" spans="2:9">
      <c r="B108" s="862"/>
      <c r="C108" s="863"/>
      <c r="D108" s="863"/>
      <c r="E108" s="862"/>
      <c r="F108" s="862"/>
      <c r="G108" s="862"/>
      <c r="H108" s="862"/>
      <c r="I108" s="862"/>
    </row>
    <row r="109" spans="2:9">
      <c r="B109" s="864"/>
      <c r="C109" s="863"/>
      <c r="D109" s="863"/>
      <c r="E109" s="863"/>
      <c r="F109" s="865"/>
      <c r="G109" s="865"/>
      <c r="H109" s="865"/>
      <c r="I109" s="865"/>
    </row>
    <row r="110" spans="2:9">
      <c r="B110" s="863"/>
      <c r="C110" s="863"/>
      <c r="D110" s="863"/>
      <c r="E110" s="598"/>
      <c r="F110" s="598"/>
      <c r="G110" s="598"/>
      <c r="H110" s="598"/>
      <c r="I110" s="598"/>
    </row>
    <row r="111" spans="2:9">
      <c r="B111" s="866"/>
      <c r="C111" s="863"/>
      <c r="D111" s="863"/>
      <c r="E111" s="598"/>
      <c r="F111" s="598"/>
      <c r="G111" s="598"/>
      <c r="H111" s="598"/>
      <c r="I111" s="598"/>
    </row>
    <row r="112" spans="2:9">
      <c r="B112" s="863"/>
      <c r="C112" s="863"/>
      <c r="D112" s="863"/>
      <c r="E112" s="598"/>
      <c r="F112" s="598"/>
      <c r="G112" s="598"/>
      <c r="H112" s="598"/>
      <c r="I112" s="598"/>
    </row>
    <row r="113" spans="2:9">
      <c r="B113" s="863"/>
      <c r="C113" s="863"/>
      <c r="D113" s="863"/>
      <c r="E113" s="598"/>
      <c r="F113" s="598"/>
      <c r="G113" s="598"/>
      <c r="H113" s="598"/>
      <c r="I113" s="598"/>
    </row>
    <row r="114" spans="2:9">
      <c r="B114" s="863"/>
      <c r="C114" s="863"/>
      <c r="D114" s="863"/>
      <c r="E114" s="598"/>
      <c r="F114" s="598"/>
      <c r="G114" s="598"/>
      <c r="H114" s="598"/>
      <c r="I114" s="598"/>
    </row>
    <row r="115" spans="2:9">
      <c r="B115" s="863"/>
      <c r="C115" s="863"/>
      <c r="D115" s="863"/>
      <c r="E115" s="598"/>
      <c r="F115" s="598"/>
      <c r="G115" s="598"/>
      <c r="H115" s="598"/>
      <c r="I115" s="598"/>
    </row>
    <row r="116" spans="2:9">
      <c r="B116" s="863"/>
      <c r="C116" s="863"/>
      <c r="D116" s="863"/>
      <c r="E116" s="863"/>
      <c r="F116" s="863"/>
      <c r="G116" s="863"/>
      <c r="H116" s="863"/>
      <c r="I116" s="863"/>
    </row>
    <row r="117" spans="2:9">
      <c r="B117" s="864"/>
      <c r="C117" s="863"/>
      <c r="D117" s="863"/>
      <c r="E117" s="862"/>
      <c r="F117" s="862"/>
      <c r="G117" s="862"/>
      <c r="H117" s="862"/>
      <c r="I117" s="862"/>
    </row>
    <row r="118" spans="2:9">
      <c r="B118" s="864"/>
      <c r="C118" s="863"/>
      <c r="D118" s="863"/>
      <c r="E118" s="598"/>
      <c r="F118" s="598"/>
      <c r="G118" s="598"/>
      <c r="H118" s="598"/>
      <c r="I118" s="598"/>
    </row>
    <row r="119" spans="2:9">
      <c r="B119" s="867"/>
      <c r="C119" s="863"/>
      <c r="D119" s="863"/>
      <c r="E119" s="598"/>
      <c r="F119" s="598"/>
      <c r="G119" s="598"/>
      <c r="H119" s="598"/>
      <c r="I119" s="598"/>
    </row>
    <row r="120" spans="2:9">
      <c r="B120" s="864"/>
      <c r="C120" s="863"/>
      <c r="D120" s="863"/>
      <c r="E120" s="598"/>
      <c r="F120" s="598"/>
      <c r="G120" s="598"/>
      <c r="H120" s="598"/>
      <c r="I120" s="598"/>
    </row>
    <row r="121" spans="2:9">
      <c r="B121" s="864"/>
      <c r="C121" s="863"/>
      <c r="D121" s="863"/>
      <c r="E121" s="598"/>
      <c r="F121" s="598"/>
      <c r="G121" s="598"/>
      <c r="H121" s="598"/>
      <c r="I121" s="598"/>
    </row>
    <row r="122" spans="2:9">
      <c r="B122" s="863"/>
      <c r="C122" s="863"/>
      <c r="D122" s="863"/>
      <c r="E122" s="598"/>
      <c r="F122" s="598"/>
      <c r="G122" s="598"/>
      <c r="H122" s="598"/>
      <c r="I122" s="598"/>
    </row>
    <row r="123" spans="2:9">
      <c r="B123" s="863"/>
      <c r="C123" s="863"/>
      <c r="D123" s="863"/>
      <c r="E123" s="598"/>
      <c r="F123" s="598"/>
      <c r="G123" s="598"/>
      <c r="H123" s="598"/>
      <c r="I123" s="598"/>
    </row>
    <row r="124" spans="2:9">
      <c r="B124" s="863"/>
      <c r="C124" s="863"/>
      <c r="D124" s="863"/>
      <c r="E124" s="863"/>
      <c r="F124" s="863"/>
      <c r="G124" s="863"/>
      <c r="H124" s="863"/>
      <c r="I124" s="863"/>
    </row>
    <row r="125" spans="2:9">
      <c r="B125" s="864"/>
      <c r="C125" s="863"/>
      <c r="D125" s="863"/>
      <c r="E125" s="601"/>
      <c r="F125" s="601"/>
      <c r="G125" s="601"/>
      <c r="H125" s="601"/>
      <c r="I125" s="601"/>
    </row>
    <row r="126" spans="2:9">
      <c r="B126" s="863"/>
      <c r="C126" s="863"/>
      <c r="D126" s="863"/>
      <c r="E126" s="863"/>
      <c r="F126" s="863"/>
      <c r="G126" s="863"/>
      <c r="H126" s="863"/>
      <c r="I126" s="863"/>
    </row>
    <row r="127" spans="2:9">
      <c r="B127" s="864"/>
      <c r="C127" s="863"/>
      <c r="D127" s="862"/>
      <c r="E127" s="863"/>
      <c r="F127" s="863"/>
      <c r="G127" s="863"/>
      <c r="H127" s="868"/>
      <c r="I127" s="868"/>
    </row>
    <row r="128" spans="2:9">
      <c r="B128" s="864"/>
      <c r="C128" s="863"/>
      <c r="D128" s="600"/>
      <c r="E128" s="869"/>
      <c r="F128" s="869"/>
      <c r="G128" s="869"/>
      <c r="H128" s="869"/>
      <c r="I128" s="870"/>
    </row>
    <row r="129" spans="2:9">
      <c r="B129" s="871"/>
      <c r="C129" s="863"/>
      <c r="D129" s="599"/>
      <c r="E129" s="872"/>
      <c r="F129" s="872"/>
      <c r="G129" s="872"/>
      <c r="H129" s="872"/>
      <c r="I129" s="870"/>
    </row>
    <row r="130" spans="2:9">
      <c r="B130" s="871"/>
      <c r="C130" s="863"/>
      <c r="D130" s="599"/>
      <c r="E130" s="872"/>
      <c r="F130" s="872"/>
      <c r="G130" s="872"/>
      <c r="H130" s="872"/>
      <c r="I130" s="870"/>
    </row>
    <row r="131" spans="2:9" ht="13.5" customHeight="1">
      <c r="B131" s="867"/>
      <c r="C131" s="863"/>
      <c r="D131" s="597"/>
      <c r="E131" s="869"/>
      <c r="F131" s="869"/>
      <c r="G131" s="869"/>
      <c r="H131" s="869"/>
      <c r="I131" s="870"/>
    </row>
    <row r="132" spans="2:9">
      <c r="B132" s="871"/>
      <c r="C132" s="863"/>
      <c r="D132" s="597"/>
      <c r="E132" s="869"/>
      <c r="F132" s="869"/>
      <c r="G132" s="869"/>
      <c r="H132" s="869"/>
      <c r="I132" s="870"/>
    </row>
    <row r="133" spans="2:9">
      <c r="B133" s="864"/>
      <c r="C133" s="863"/>
      <c r="D133" s="597"/>
      <c r="E133" s="870"/>
      <c r="F133" s="870"/>
      <c r="G133" s="870"/>
      <c r="H133" s="870"/>
      <c r="I133" s="870"/>
    </row>
    <row r="134" spans="2:9">
      <c r="B134" s="864"/>
      <c r="C134" s="863"/>
      <c r="D134" s="597"/>
      <c r="E134" s="870"/>
      <c r="F134" s="870"/>
      <c r="G134" s="870"/>
      <c r="H134" s="870"/>
      <c r="I134" s="870"/>
    </row>
    <row r="135" spans="2:9">
      <c r="B135" s="871"/>
      <c r="C135" s="863"/>
      <c r="D135" s="598"/>
      <c r="E135" s="870"/>
      <c r="F135" s="870"/>
      <c r="G135" s="870"/>
      <c r="H135" s="870"/>
      <c r="I135" s="870"/>
    </row>
    <row r="136" spans="2:9">
      <c r="B136" s="871"/>
      <c r="C136" s="863"/>
      <c r="D136" s="598"/>
      <c r="E136" s="870"/>
      <c r="F136" s="870"/>
      <c r="G136" s="870"/>
      <c r="H136" s="870"/>
      <c r="I136" s="870"/>
    </row>
    <row r="137" spans="2:9">
      <c r="B137" s="864"/>
      <c r="C137" s="863"/>
      <c r="D137" s="597"/>
      <c r="E137" s="873"/>
      <c r="F137" s="873"/>
      <c r="G137" s="873"/>
      <c r="H137" s="873"/>
      <c r="I137" s="873"/>
    </row>
    <row r="138" spans="2:9">
      <c r="B138" s="819"/>
      <c r="D138" s="603"/>
      <c r="E138" s="875"/>
      <c r="G138" s="875"/>
      <c r="H138" s="875"/>
      <c r="I138" s="875"/>
    </row>
    <row r="139" spans="2:9">
      <c r="I139" s="603"/>
    </row>
    <row r="140" spans="2:9">
      <c r="E140" s="603"/>
      <c r="F140" s="603"/>
      <c r="G140" s="603"/>
      <c r="H140" s="603"/>
      <c r="I140" s="603"/>
    </row>
    <row r="141" spans="2:9">
      <c r="D141" s="591"/>
      <c r="E141" s="819"/>
    </row>
    <row r="142" spans="2:9">
      <c r="F142" s="604"/>
      <c r="G142" s="604"/>
      <c r="H142" s="604"/>
      <c r="I142" s="604"/>
    </row>
    <row r="143" spans="2:9" ht="21" customHeight="1">
      <c r="B143" s="972"/>
      <c r="C143" s="973"/>
      <c r="F143" s="595"/>
      <c r="G143" s="595"/>
      <c r="H143" s="595"/>
      <c r="I143" s="595"/>
    </row>
    <row r="144" spans="2:9" ht="18.75" customHeight="1">
      <c r="B144" s="876"/>
      <c r="C144" s="877"/>
      <c r="D144" s="595"/>
      <c r="E144" s="595"/>
      <c r="F144" s="595"/>
      <c r="G144" s="595"/>
    </row>
    <row r="145" spans="1:9" ht="18.75" customHeight="1">
      <c r="B145" s="876"/>
      <c r="C145" s="877"/>
      <c r="D145" s="595"/>
      <c r="E145" s="595"/>
      <c r="F145" s="595"/>
      <c r="G145" s="596"/>
      <c r="H145" s="819"/>
      <c r="I145" s="596"/>
    </row>
    <row r="146" spans="1:9" ht="21" customHeight="1">
      <c r="B146" s="862"/>
      <c r="C146" s="878"/>
      <c r="D146" s="595"/>
      <c r="E146" s="595"/>
      <c r="F146" s="819"/>
      <c r="G146" s="603"/>
      <c r="H146" s="603"/>
      <c r="I146" s="603"/>
    </row>
    <row r="147" spans="1:9">
      <c r="D147" s="595"/>
      <c r="E147" s="595"/>
    </row>
    <row r="148" spans="1:9">
      <c r="G148" s="595"/>
      <c r="H148" s="819"/>
      <c r="I148" s="819"/>
    </row>
    <row r="149" spans="1:9">
      <c r="F149" s="819"/>
      <c r="G149" s="603"/>
      <c r="H149" s="603"/>
      <c r="I149" s="603"/>
    </row>
    <row r="150" spans="1:9">
      <c r="A150" s="879"/>
      <c r="B150" s="823"/>
      <c r="C150" s="823"/>
      <c r="D150" s="823"/>
      <c r="E150" s="823"/>
      <c r="F150" s="823"/>
      <c r="G150" s="823"/>
      <c r="H150" s="823"/>
      <c r="I150" s="823"/>
    </row>
    <row r="151" spans="1:9">
      <c r="E151" s="603"/>
    </row>
    <row r="153" spans="1:9">
      <c r="D153" s="603"/>
      <c r="I153" s="874"/>
    </row>
    <row r="155" spans="1:9">
      <c r="B155" s="819"/>
      <c r="C155" s="818"/>
      <c r="D155" s="818"/>
      <c r="E155" s="818"/>
      <c r="F155" s="818"/>
      <c r="G155" s="818"/>
      <c r="H155" s="818"/>
      <c r="I155" s="818"/>
    </row>
    <row r="156" spans="1:9">
      <c r="C156" s="880"/>
      <c r="D156" s="594"/>
      <c r="E156" s="594"/>
      <c r="F156" s="594"/>
      <c r="G156" s="594"/>
      <c r="H156" s="594"/>
      <c r="I156" s="594"/>
    </row>
    <row r="157" spans="1:9">
      <c r="C157" s="880"/>
      <c r="D157" s="594"/>
      <c r="E157" s="594"/>
      <c r="F157" s="594"/>
      <c r="G157" s="594"/>
      <c r="H157" s="594"/>
      <c r="I157" s="594"/>
    </row>
    <row r="158" spans="1:9">
      <c r="C158" s="880"/>
      <c r="D158" s="881"/>
      <c r="E158" s="594"/>
      <c r="F158" s="594"/>
      <c r="G158" s="594"/>
      <c r="H158" s="594"/>
      <c r="I158" s="594"/>
    </row>
    <row r="159" spans="1:9">
      <c r="B159" s="819"/>
      <c r="C159" s="880"/>
      <c r="D159" s="880"/>
      <c r="H159" s="882"/>
    </row>
    <row r="160" spans="1:9">
      <c r="C160" s="880"/>
      <c r="D160" s="592"/>
      <c r="E160" s="592"/>
      <c r="F160" s="592"/>
      <c r="G160" s="592"/>
      <c r="H160" s="592"/>
      <c r="I160" s="592"/>
    </row>
    <row r="161" spans="2:9">
      <c r="C161" s="880"/>
      <c r="D161" s="592"/>
      <c r="E161" s="592"/>
      <c r="F161" s="592"/>
      <c r="G161" s="592"/>
      <c r="H161" s="592"/>
      <c r="I161" s="592"/>
    </row>
    <row r="162" spans="2:9">
      <c r="C162" s="880"/>
      <c r="D162" s="592"/>
      <c r="E162" s="592"/>
      <c r="F162" s="592"/>
      <c r="G162" s="592"/>
      <c r="H162" s="592"/>
      <c r="I162" s="592"/>
    </row>
    <row r="163" spans="2:9">
      <c r="C163" s="880"/>
      <c r="D163" s="592"/>
      <c r="E163" s="592"/>
      <c r="F163" s="592"/>
      <c r="G163" s="592"/>
      <c r="H163" s="592"/>
      <c r="I163" s="592"/>
    </row>
    <row r="164" spans="2:9">
      <c r="C164" s="880"/>
      <c r="D164" s="592"/>
      <c r="E164" s="592"/>
      <c r="F164" s="592"/>
      <c r="G164" s="592"/>
      <c r="H164" s="592"/>
      <c r="I164" s="592"/>
    </row>
    <row r="165" spans="2:9">
      <c r="C165" s="880"/>
      <c r="D165" s="592"/>
      <c r="E165" s="592"/>
      <c r="F165" s="592"/>
      <c r="G165" s="592"/>
      <c r="H165" s="592"/>
      <c r="I165" s="592"/>
    </row>
    <row r="166" spans="2:9">
      <c r="B166" s="819"/>
      <c r="C166" s="880"/>
      <c r="D166" s="880"/>
    </row>
    <row r="167" spans="2:9">
      <c r="C167" s="880"/>
      <c r="D167" s="592"/>
      <c r="E167" s="592"/>
      <c r="F167" s="592"/>
      <c r="G167" s="592"/>
      <c r="H167" s="592"/>
      <c r="I167" s="592"/>
    </row>
    <row r="168" spans="2:9">
      <c r="C168" s="880"/>
      <c r="D168" s="592"/>
      <c r="E168" s="592"/>
      <c r="F168" s="592"/>
      <c r="G168" s="592"/>
      <c r="H168" s="592"/>
      <c r="I168" s="592"/>
    </row>
    <row r="169" spans="2:9">
      <c r="B169" s="819"/>
      <c r="C169" s="880"/>
      <c r="D169" s="880"/>
    </row>
    <row r="170" spans="2:9">
      <c r="C170" s="880"/>
      <c r="D170" s="590"/>
      <c r="E170" s="592"/>
      <c r="F170" s="592"/>
      <c r="G170" s="592"/>
      <c r="H170" s="592"/>
      <c r="I170" s="592"/>
    </row>
    <row r="171" spans="2:9">
      <c r="C171" s="880"/>
      <c r="D171" s="590"/>
      <c r="E171" s="593"/>
      <c r="F171" s="593"/>
      <c r="G171" s="593"/>
      <c r="H171" s="593"/>
      <c r="I171" s="593"/>
    </row>
    <row r="173" spans="2:9">
      <c r="B173" s="819"/>
      <c r="C173" s="880"/>
      <c r="D173" s="818"/>
      <c r="E173" s="818"/>
      <c r="F173" s="818"/>
      <c r="G173" s="818"/>
      <c r="H173" s="818"/>
      <c r="I173" s="818"/>
    </row>
    <row r="174" spans="2:9">
      <c r="B174" s="819"/>
      <c r="C174" s="880"/>
      <c r="D174" s="880"/>
      <c r="E174" s="883"/>
      <c r="F174" s="819"/>
      <c r="G174" s="819"/>
      <c r="H174" s="819"/>
      <c r="I174" s="819"/>
    </row>
    <row r="175" spans="2:9">
      <c r="B175" s="819"/>
      <c r="C175" s="880"/>
      <c r="D175" s="880"/>
      <c r="E175" s="591"/>
      <c r="F175" s="591"/>
      <c r="G175" s="591"/>
      <c r="H175" s="591"/>
      <c r="I175" s="591"/>
    </row>
    <row r="176" spans="2:9">
      <c r="C176" s="880"/>
      <c r="D176" s="880"/>
      <c r="E176" s="592"/>
      <c r="F176" s="592"/>
      <c r="G176" s="592"/>
      <c r="H176" s="592"/>
      <c r="I176" s="592"/>
    </row>
    <row r="177" spans="2:9">
      <c r="C177" s="880"/>
      <c r="D177" s="880"/>
      <c r="E177" s="592"/>
      <c r="F177" s="592"/>
      <c r="G177" s="592"/>
      <c r="H177" s="592"/>
      <c r="I177" s="592"/>
    </row>
    <row r="178" spans="2:9">
      <c r="C178" s="880"/>
      <c r="D178" s="880"/>
      <c r="E178" s="592"/>
      <c r="F178" s="592"/>
      <c r="G178" s="592"/>
      <c r="H178" s="592"/>
      <c r="I178" s="592"/>
    </row>
    <row r="179" spans="2:9">
      <c r="C179" s="880"/>
      <c r="D179" s="880"/>
      <c r="E179" s="592"/>
      <c r="F179" s="592"/>
      <c r="G179" s="592"/>
      <c r="H179" s="592"/>
      <c r="I179" s="592"/>
    </row>
    <row r="180" spans="2:9">
      <c r="C180" s="880"/>
      <c r="D180" s="880"/>
      <c r="E180" s="884"/>
      <c r="F180" s="884"/>
      <c r="G180" s="884"/>
      <c r="H180" s="884"/>
      <c r="I180" s="884"/>
    </row>
    <row r="181" spans="2:9">
      <c r="B181" s="819"/>
      <c r="C181" s="880"/>
      <c r="D181" s="880"/>
      <c r="E181" s="591"/>
      <c r="F181" s="591"/>
      <c r="G181" s="591"/>
      <c r="H181" s="591"/>
      <c r="I181" s="591"/>
    </row>
    <row r="182" spans="2:9">
      <c r="C182" s="880"/>
      <c r="D182" s="880"/>
      <c r="E182" s="592"/>
      <c r="F182" s="592"/>
      <c r="G182" s="592"/>
      <c r="H182" s="592"/>
      <c r="I182" s="592"/>
    </row>
    <row r="183" spans="2:9">
      <c r="C183" s="880"/>
      <c r="D183" s="880"/>
      <c r="E183" s="592"/>
      <c r="F183" s="592"/>
      <c r="G183" s="592"/>
      <c r="H183" s="592"/>
      <c r="I183" s="592"/>
    </row>
    <row r="184" spans="2:9">
      <c r="C184" s="880"/>
      <c r="D184" s="880"/>
      <c r="E184" s="592"/>
      <c r="F184" s="592"/>
      <c r="G184" s="592"/>
      <c r="H184" s="592"/>
      <c r="I184" s="592"/>
    </row>
    <row r="185" spans="2:9">
      <c r="C185" s="880"/>
      <c r="D185" s="880"/>
      <c r="E185" s="592"/>
      <c r="F185" s="592"/>
      <c r="G185" s="592"/>
      <c r="H185" s="592"/>
      <c r="I185" s="592"/>
    </row>
    <row r="186" spans="2:9">
      <c r="C186" s="880"/>
      <c r="D186" s="880"/>
      <c r="E186" s="592"/>
      <c r="F186" s="592"/>
      <c r="G186" s="592"/>
      <c r="H186" s="592"/>
      <c r="I186" s="592"/>
    </row>
    <row r="187" spans="2:9">
      <c r="B187" s="819"/>
      <c r="C187" s="880"/>
      <c r="D187" s="880"/>
      <c r="E187" s="591"/>
      <c r="F187" s="591"/>
      <c r="G187" s="591"/>
      <c r="H187" s="591"/>
      <c r="I187" s="591"/>
    </row>
    <row r="188" spans="2:9">
      <c r="C188" s="880"/>
      <c r="D188" s="590"/>
      <c r="E188" s="590"/>
      <c r="F188" s="590"/>
      <c r="G188" s="590"/>
      <c r="H188" s="590"/>
      <c r="I188" s="590"/>
    </row>
    <row r="189" spans="2:9">
      <c r="C189" s="880"/>
      <c r="D189" s="590"/>
      <c r="E189" s="590"/>
      <c r="F189" s="590"/>
      <c r="G189" s="590"/>
      <c r="H189" s="590"/>
      <c r="I189" s="590"/>
    </row>
    <row r="190" spans="2:9">
      <c r="B190" s="809"/>
      <c r="C190" s="817"/>
      <c r="D190" s="817"/>
      <c r="E190" s="885"/>
      <c r="F190" s="885"/>
      <c r="G190" s="885"/>
      <c r="H190" s="885"/>
      <c r="I190" s="885"/>
    </row>
    <row r="191" spans="2:9">
      <c r="B191" s="886"/>
      <c r="C191" s="809"/>
      <c r="D191" s="809"/>
      <c r="E191" s="589"/>
      <c r="F191" s="589"/>
      <c r="G191" s="589"/>
      <c r="H191" s="589"/>
      <c r="I191" s="589"/>
    </row>
  </sheetData>
  <mergeCells count="8">
    <mergeCell ref="B143:C143"/>
    <mergeCell ref="B2:I2"/>
    <mergeCell ref="B3:I3"/>
    <mergeCell ref="B4:I4"/>
    <mergeCell ref="B84:D85"/>
    <mergeCell ref="B103:I103"/>
    <mergeCell ref="B104:I104"/>
    <mergeCell ref="B105:I105"/>
  </mergeCells>
  <dataValidations count="1">
    <dataValidation type="list" allowBlank="1" showInputMessage="1" showErrorMessage="1" sqref="K33:K37" xr:uid="{7C7D3533-F0C6-41BE-B83F-EFB7D492B276}">
      <formula1>#REF!</formula1>
    </dataValidation>
  </dataValidations>
  <pageMargins left="0.70866141732283472" right="0.70866141732283472" top="0.74803149606299213" bottom="0.74803149606299213" header="0.31496062992125984" footer="0.31496062992125984"/>
  <pageSetup scale="48" fitToHeight="0" orientation="landscape" verticalDpi="597" r:id="rId1"/>
  <rowBreaks count="2" manualBreakCount="2">
    <brk id="98" max="16383" man="1"/>
    <brk id="14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B1:P27"/>
  <sheetViews>
    <sheetView showGridLines="0" zoomScaleNormal="100" workbookViewId="0">
      <selection activeCell="N5" sqref="N5"/>
    </sheetView>
  </sheetViews>
  <sheetFormatPr baseColWidth="10" defaultRowHeight="12.5"/>
  <cols>
    <col min="1" max="1" width="3.1796875" customWidth="1"/>
    <col min="2" max="2" width="5" customWidth="1"/>
    <col min="15" max="15" width="27.81640625" bestFit="1" customWidth="1"/>
  </cols>
  <sheetData>
    <row r="1" spans="2:16">
      <c r="C1" s="556"/>
      <c r="D1" s="556"/>
      <c r="E1" s="556"/>
      <c r="F1" s="556"/>
      <c r="G1" s="556"/>
      <c r="H1" s="556"/>
      <c r="I1" s="556"/>
      <c r="J1" s="556"/>
      <c r="K1" s="556"/>
      <c r="L1" s="556"/>
      <c r="M1" s="556"/>
      <c r="N1" s="557"/>
    </row>
    <row r="2" spans="2:16" ht="13">
      <c r="C2" s="1" t="s">
        <v>349</v>
      </c>
      <c r="N2" s="96"/>
    </row>
    <row r="3" spans="2:16" ht="13">
      <c r="C3" s="289" t="s">
        <v>231</v>
      </c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2:16" ht="23.25" customHeight="1">
      <c r="C4" s="290" t="s">
        <v>135</v>
      </c>
      <c r="D4" s="291" t="s">
        <v>16</v>
      </c>
      <c r="E4" s="292" t="s">
        <v>17</v>
      </c>
      <c r="F4" s="292" t="s">
        <v>18</v>
      </c>
      <c r="G4" s="292" t="s">
        <v>19</v>
      </c>
      <c r="H4" s="292" t="s">
        <v>20</v>
      </c>
      <c r="I4" s="292" t="s">
        <v>21</v>
      </c>
      <c r="J4" s="292" t="s">
        <v>22</v>
      </c>
      <c r="K4" s="292" t="s">
        <v>23</v>
      </c>
      <c r="L4" s="292" t="s">
        <v>24</v>
      </c>
      <c r="M4" s="293" t="s">
        <v>25</v>
      </c>
      <c r="N4" s="294" t="s">
        <v>15</v>
      </c>
    </row>
    <row r="5" spans="2:16" ht="13">
      <c r="C5" s="295" t="s">
        <v>136</v>
      </c>
      <c r="D5" s="367">
        <f>'Generacion y Demanda Nuevo'!C5</f>
        <v>381.78000000000003</v>
      </c>
      <c r="E5" s="367">
        <f>'Generacion y Demanda Nuevo'!C24</f>
        <v>548.68000000000006</v>
      </c>
      <c r="F5" s="367">
        <f>'Generacion y Demanda Nuevo'!C31</f>
        <v>194.10000000000005</v>
      </c>
      <c r="G5" s="367">
        <f>'Generacion y Demanda Nuevo'!C43</f>
        <v>613.9747799999999</v>
      </c>
      <c r="H5" s="367">
        <f>'Generacion y Demanda Nuevo'!C101</f>
        <v>764.53666989999999</v>
      </c>
      <c r="I5" s="367">
        <f>'Generacion y Demanda Nuevo'!C149</f>
        <v>309.22000000000003</v>
      </c>
      <c r="J5" s="367">
        <f>'Generacion y Demanda Nuevo'!C170</f>
        <v>156.142</v>
      </c>
      <c r="K5" s="367">
        <f>'Generacion y Demanda Nuevo'!C174</f>
        <v>260</v>
      </c>
      <c r="L5" s="367">
        <f>'Generacion y Demanda Nuevo'!C176</f>
        <v>1376.25</v>
      </c>
      <c r="M5" s="367">
        <f>'Generacion y Demanda Nuevo'!C183</f>
        <v>254.8</v>
      </c>
      <c r="N5" s="368">
        <f>SUM(D5:M5)</f>
        <v>4859.4834498999999</v>
      </c>
    </row>
    <row r="6" spans="2:16" ht="13">
      <c r="C6" s="299" t="s">
        <v>137</v>
      </c>
      <c r="D6" s="370">
        <f>'Generacion y Demanda Nuevo'!M7</f>
        <v>25.58</v>
      </c>
      <c r="E6" s="370">
        <f>'Generacion y Demanda Nuevo'!M12</f>
        <v>0</v>
      </c>
      <c r="F6" s="370">
        <f>'Generacion y Demanda Nuevo'!M14</f>
        <v>0.09</v>
      </c>
      <c r="G6" s="370">
        <f>'Generacion y Demanda Nuevo'!M18</f>
        <v>139.01</v>
      </c>
      <c r="H6" s="370">
        <f>'Generacion y Demanda Nuevo'!M23</f>
        <v>224.36</v>
      </c>
      <c r="I6" s="370">
        <f>'Generacion y Demanda Nuevo'!M33</f>
        <v>269.92999999999995</v>
      </c>
      <c r="J6" s="370">
        <f>'Generacion y Demanda Nuevo'!M41</f>
        <v>1039.24</v>
      </c>
      <c r="K6" s="370">
        <f>'Generacion y Demanda Nuevo'!M61</f>
        <v>1.5</v>
      </c>
      <c r="L6" s="370">
        <f>'Generacion y Demanda Nuevo'!M65</f>
        <v>146.54999999999998</v>
      </c>
      <c r="M6" s="370">
        <f>'Generacion y Demanda Nuevo'!M73</f>
        <v>53.870000000000005</v>
      </c>
      <c r="N6" s="371">
        <f>SUM(D6:M6)</f>
        <v>1900.13</v>
      </c>
    </row>
    <row r="7" spans="2:16" ht="13">
      <c r="B7" s="260"/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</row>
    <row r="8" spans="2:16" ht="13">
      <c r="B8" s="260"/>
      <c r="C8" s="1" t="s">
        <v>309</v>
      </c>
      <c r="N8" s="96"/>
      <c r="O8" s="260"/>
    </row>
    <row r="9" spans="2:16" ht="14.25" customHeight="1">
      <c r="B9" s="260"/>
      <c r="C9" s="289" t="s">
        <v>231</v>
      </c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369"/>
      <c r="P9" s="555"/>
    </row>
    <row r="10" spans="2:16" ht="23">
      <c r="B10" s="260"/>
      <c r="C10" s="290" t="s">
        <v>135</v>
      </c>
      <c r="D10" s="291" t="s">
        <v>16</v>
      </c>
      <c r="E10" s="292" t="s">
        <v>17</v>
      </c>
      <c r="F10" s="292" t="s">
        <v>18</v>
      </c>
      <c r="G10" s="292" t="s">
        <v>19</v>
      </c>
      <c r="H10" s="292" t="s">
        <v>20</v>
      </c>
      <c r="I10" s="292" t="s">
        <v>21</v>
      </c>
      <c r="J10" s="292" t="s">
        <v>22</v>
      </c>
      <c r="K10" s="292" t="s">
        <v>23</v>
      </c>
      <c r="L10" s="292" t="s">
        <v>24</v>
      </c>
      <c r="M10" s="293" t="s">
        <v>25</v>
      </c>
      <c r="N10" s="294" t="s">
        <v>15</v>
      </c>
      <c r="O10" s="369"/>
      <c r="P10" s="555"/>
    </row>
    <row r="11" spans="2:16" ht="13">
      <c r="B11" s="260"/>
      <c r="C11" s="295" t="s">
        <v>136</v>
      </c>
      <c r="D11" s="367">
        <f>'Generacion y Demanda Nuevo'!D5</f>
        <v>381.78000000000003</v>
      </c>
      <c r="E11" s="367">
        <f>'Generacion y Demanda Nuevo'!D24</f>
        <v>548.68000000000006</v>
      </c>
      <c r="F11" s="367">
        <f>'Generacion y Demanda Nuevo'!D31</f>
        <v>194.10000000000005</v>
      </c>
      <c r="G11" s="367">
        <f>'Generacion y Demanda Nuevo'!D43</f>
        <v>778.77477999999974</v>
      </c>
      <c r="H11" s="367">
        <f>'Generacion y Demanda Nuevo'!D101</f>
        <v>817.04666989999987</v>
      </c>
      <c r="I11" s="367">
        <f>'Generacion y Demanda Nuevo'!D149</f>
        <v>309.22000000000003</v>
      </c>
      <c r="J11" s="367">
        <f>'Generacion y Demanda Nuevo'!D170</f>
        <v>156.142</v>
      </c>
      <c r="K11" s="367">
        <f>'Generacion y Demanda Nuevo'!D174</f>
        <v>260</v>
      </c>
      <c r="L11" s="367">
        <f>'Generacion y Demanda Nuevo'!D176</f>
        <v>1376.25</v>
      </c>
      <c r="M11" s="367">
        <f>'Generacion y Demanda Nuevo'!D183</f>
        <v>254.8</v>
      </c>
      <c r="N11" s="368">
        <f>SUM(D11:M11)</f>
        <v>5076.7934499000003</v>
      </c>
      <c r="O11" s="260"/>
    </row>
    <row r="12" spans="2:16" ht="13">
      <c r="C12" s="299" t="s">
        <v>137</v>
      </c>
      <c r="D12" s="370">
        <f>'Generacion y Demanda Nuevo'!N7</f>
        <v>26.509999999999998</v>
      </c>
      <c r="E12" s="370">
        <f>'Generacion y Demanda Nuevo'!N12</f>
        <v>0</v>
      </c>
      <c r="F12" s="370">
        <f>'Generacion y Demanda Nuevo'!N14</f>
        <v>0.09</v>
      </c>
      <c r="G12" s="370">
        <f>'Generacion y Demanda Nuevo'!N18</f>
        <v>140.5</v>
      </c>
      <c r="H12" s="370">
        <f>'Generacion y Demanda Nuevo'!N23</f>
        <v>224.51</v>
      </c>
      <c r="I12" s="370">
        <f>'Generacion y Demanda Nuevo'!N33</f>
        <v>279.05999999999995</v>
      </c>
      <c r="J12" s="370">
        <f>'Generacion y Demanda Nuevo'!N41</f>
        <v>1044.21</v>
      </c>
      <c r="K12" s="370">
        <f>'Generacion y Demanda Nuevo'!N61</f>
        <v>1.6</v>
      </c>
      <c r="L12" s="370">
        <f>'Generacion y Demanda Nuevo'!N65</f>
        <v>150.14999999999998</v>
      </c>
      <c r="M12" s="370">
        <f>'Generacion y Demanda Nuevo'!N73</f>
        <v>55.33</v>
      </c>
      <c r="N12" s="371">
        <f>SUM(D12:M12)</f>
        <v>1921.96</v>
      </c>
    </row>
    <row r="14" spans="2:16" ht="13">
      <c r="C14" s="1" t="s">
        <v>350</v>
      </c>
      <c r="N14" s="96"/>
    </row>
    <row r="15" spans="2:16" ht="13">
      <c r="C15" s="289" t="s">
        <v>231</v>
      </c>
      <c r="D15" s="260"/>
      <c r="E15" s="260"/>
      <c r="F15" s="260"/>
      <c r="G15" s="260"/>
      <c r="H15" s="260"/>
      <c r="I15" s="260"/>
      <c r="J15" s="260"/>
      <c r="K15" s="260"/>
      <c r="L15" s="260"/>
      <c r="M15" s="260"/>
      <c r="N15" s="260"/>
    </row>
    <row r="16" spans="2:16" ht="27.75" customHeight="1">
      <c r="C16" s="290" t="s">
        <v>135</v>
      </c>
      <c r="D16" s="291" t="s">
        <v>16</v>
      </c>
      <c r="E16" s="292" t="s">
        <v>17</v>
      </c>
      <c r="F16" s="292" t="s">
        <v>18</v>
      </c>
      <c r="G16" s="292" t="s">
        <v>19</v>
      </c>
      <c r="H16" s="292" t="s">
        <v>20</v>
      </c>
      <c r="I16" s="292" t="s">
        <v>21</v>
      </c>
      <c r="J16" s="292" t="s">
        <v>22</v>
      </c>
      <c r="K16" s="292" t="s">
        <v>23</v>
      </c>
      <c r="L16" s="292" t="s">
        <v>24</v>
      </c>
      <c r="M16" s="293" t="s">
        <v>25</v>
      </c>
      <c r="N16" s="294" t="s">
        <v>15</v>
      </c>
    </row>
    <row r="17" spans="3:15" ht="13">
      <c r="C17" s="295" t="s">
        <v>136</v>
      </c>
      <c r="D17" s="367">
        <f>'Generacion y Demanda Nuevo'!E5</f>
        <v>381.78000000000003</v>
      </c>
      <c r="E17" s="367">
        <f>'Generacion y Demanda Nuevo'!E24</f>
        <v>548.68000000000006</v>
      </c>
      <c r="F17" s="367">
        <f>'Generacion y Demanda Nuevo'!E31</f>
        <v>194.10000000000005</v>
      </c>
      <c r="G17" s="367">
        <f>'Generacion y Demanda Nuevo'!E43</f>
        <v>808.77477999999974</v>
      </c>
      <c r="H17" s="367">
        <f>'Generacion y Demanda Nuevo'!E101</f>
        <v>817.04666989999987</v>
      </c>
      <c r="I17" s="367">
        <f>'Generacion y Demanda Nuevo'!E149</f>
        <v>479.22</v>
      </c>
      <c r="J17" s="367">
        <f>'Generacion y Demanda Nuevo'!E170</f>
        <v>156.142</v>
      </c>
      <c r="K17" s="367">
        <f>'Generacion y Demanda Nuevo'!E174</f>
        <v>260</v>
      </c>
      <c r="L17" s="367">
        <f>'Generacion y Demanda Nuevo'!F176</f>
        <v>1376.25</v>
      </c>
      <c r="M17" s="367">
        <f>'Generacion y Demanda Nuevo'!F183</f>
        <v>254.8</v>
      </c>
      <c r="N17" s="368">
        <f>SUM(D17:M17)</f>
        <v>5276.7934499000003</v>
      </c>
    </row>
    <row r="18" spans="3:15" ht="13">
      <c r="C18" s="299" t="s">
        <v>137</v>
      </c>
      <c r="D18" s="801">
        <f>'Generacion y Demanda Nuevo'!O7</f>
        <v>27.68</v>
      </c>
      <c r="E18" s="801">
        <f>'Generacion y Demanda Nuevo'!O12</f>
        <v>0</v>
      </c>
      <c r="F18" s="801">
        <f>'Generacion y Demanda Nuevo'!O14</f>
        <v>0.09</v>
      </c>
      <c r="G18" s="801">
        <f>'Generacion y Demanda Nuevo'!O18</f>
        <v>142.41</v>
      </c>
      <c r="H18" s="801">
        <f>'Generacion y Demanda Nuevo'!O23</f>
        <v>224.8</v>
      </c>
      <c r="I18" s="801">
        <f>'Generacion y Demanda Nuevo'!O33</f>
        <v>286.99</v>
      </c>
      <c r="J18" s="801">
        <f>'Generacion y Demanda Nuevo'!O41</f>
        <v>1066.42</v>
      </c>
      <c r="K18" s="801">
        <f>'Generacion y Demanda Nuevo'!O61</f>
        <v>1.7</v>
      </c>
      <c r="L18" s="801">
        <f>'Generacion y Demanda Nuevo'!O65</f>
        <v>153.85</v>
      </c>
      <c r="M18" s="801">
        <f>'Generacion y Demanda Nuevo'!O73</f>
        <v>56.870000000000005</v>
      </c>
      <c r="N18" s="371">
        <f>SUM(D18:M18)</f>
        <v>1960.81</v>
      </c>
    </row>
    <row r="20" spans="3:15" ht="13">
      <c r="C20" s="1" t="s">
        <v>351</v>
      </c>
      <c r="N20" s="96"/>
    </row>
    <row r="21" spans="3:15" ht="13">
      <c r="C21" s="289" t="s">
        <v>231</v>
      </c>
      <c r="D21" s="260"/>
      <c r="E21" s="260"/>
      <c r="F21" s="260"/>
      <c r="G21" s="260"/>
      <c r="H21" s="260"/>
      <c r="I21" s="260"/>
      <c r="J21" s="260"/>
      <c r="K21" s="260"/>
      <c r="L21" s="260"/>
      <c r="M21" s="260"/>
      <c r="N21" s="260"/>
    </row>
    <row r="22" spans="3:15" ht="27.75" customHeight="1">
      <c r="C22" s="290" t="s">
        <v>135</v>
      </c>
      <c r="D22" s="291" t="s">
        <v>16</v>
      </c>
      <c r="E22" s="292" t="s">
        <v>17</v>
      </c>
      <c r="F22" s="292" t="s">
        <v>18</v>
      </c>
      <c r="G22" s="292" t="s">
        <v>19</v>
      </c>
      <c r="H22" s="292" t="s">
        <v>20</v>
      </c>
      <c r="I22" s="292" t="s">
        <v>21</v>
      </c>
      <c r="J22" s="292" t="s">
        <v>22</v>
      </c>
      <c r="K22" s="292" t="s">
        <v>23</v>
      </c>
      <c r="L22" s="292" t="s">
        <v>24</v>
      </c>
      <c r="M22" s="293" t="s">
        <v>25</v>
      </c>
      <c r="N22" s="294" t="s">
        <v>15</v>
      </c>
    </row>
    <row r="23" spans="3:15" ht="13">
      <c r="C23" s="295" t="s">
        <v>136</v>
      </c>
      <c r="D23" s="367">
        <f>'Generacion y Demanda Nuevo'!F5</f>
        <v>381.78000000000003</v>
      </c>
      <c r="E23" s="367">
        <f>'Generacion y Demanda Nuevo'!F24</f>
        <v>548.68000000000006</v>
      </c>
      <c r="F23" s="367">
        <f>'Generacion y Demanda Nuevo'!F31</f>
        <v>194.10000000000005</v>
      </c>
      <c r="G23" s="367">
        <f>'Generacion y Demanda Nuevo'!F43</f>
        <v>871.77477999999974</v>
      </c>
      <c r="H23" s="367">
        <f>'Generacion y Demanda Nuevo'!F101</f>
        <v>817.04666989999987</v>
      </c>
      <c r="I23" s="367">
        <f>'Generacion y Demanda Nuevo'!F149</f>
        <v>479.22</v>
      </c>
      <c r="J23" s="367">
        <f>'Generacion y Demanda Nuevo'!F170</f>
        <v>156.142</v>
      </c>
      <c r="K23" s="367">
        <f>'Generacion y Demanda Nuevo'!F174</f>
        <v>260</v>
      </c>
      <c r="L23" s="367">
        <f>'Generacion y Demanda Nuevo'!F176</f>
        <v>1376.25</v>
      </c>
      <c r="M23" s="367">
        <f>'Generacion y Demanda Nuevo'!F183</f>
        <v>254.8</v>
      </c>
      <c r="N23" s="368">
        <f>SUM(D23:M23)</f>
        <v>5339.7934499000003</v>
      </c>
    </row>
    <row r="24" spans="3:15" ht="13">
      <c r="C24" s="299" t="s">
        <v>137</v>
      </c>
      <c r="D24" s="370">
        <f>'Generacion y Demanda Nuevo'!P7</f>
        <v>28.91</v>
      </c>
      <c r="E24" s="370">
        <f>'Generacion y Demanda Nuevo'!P12</f>
        <v>0</v>
      </c>
      <c r="F24" s="370">
        <f>'Generacion y Demanda Nuevo'!P14</f>
        <v>0.09</v>
      </c>
      <c r="G24" s="370">
        <f>'Generacion y Demanda Nuevo'!P18</f>
        <v>144.69999999999999</v>
      </c>
      <c r="H24" s="370">
        <f>'Generacion y Demanda Nuevo'!P23</f>
        <v>225.22</v>
      </c>
      <c r="I24" s="370">
        <f>'Generacion y Demanda Nuevo'!P33</f>
        <v>295.17999999999995</v>
      </c>
      <c r="J24" s="370">
        <f>'Generacion y Demanda Nuevo'!P41</f>
        <v>1084.07</v>
      </c>
      <c r="K24" s="370">
        <f>'Generacion y Demanda Nuevo'!P61</f>
        <v>1.9</v>
      </c>
      <c r="L24" s="370">
        <f>'Generacion y Demanda Nuevo'!P65</f>
        <v>158.94999999999999</v>
      </c>
      <c r="M24" s="370">
        <f>'Generacion y Demanda Nuevo'!P73</f>
        <v>58.54</v>
      </c>
      <c r="N24" s="371">
        <f>SUM(D24:M24)</f>
        <v>1997.56</v>
      </c>
    </row>
    <row r="27" spans="3:15">
      <c r="O27" s="946"/>
    </row>
  </sheetData>
  <conditionalFormatting sqref="D5:N6">
    <cfRule type="cellIs" dxfId="29" priority="21" operator="equal">
      <formula>0</formula>
    </cfRule>
  </conditionalFormatting>
  <conditionalFormatting sqref="D11:N12">
    <cfRule type="cellIs" dxfId="28" priority="11" operator="equal">
      <formula>0</formula>
    </cfRule>
  </conditionalFormatting>
  <conditionalFormatting sqref="D17:N18">
    <cfRule type="cellIs" dxfId="27" priority="1" operator="equal">
      <formula>0</formula>
    </cfRule>
  </conditionalFormatting>
  <conditionalFormatting sqref="D23:N24">
    <cfRule type="cellIs" dxfId="26" priority="3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landscape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87C6-8CDE-4F59-AE16-247E4BD08A5B}">
  <dimension ref="A2:P195"/>
  <sheetViews>
    <sheetView topLeftCell="A149" zoomScale="53" zoomScaleNormal="53" workbookViewId="0">
      <selection activeCell="L85" sqref="L85"/>
    </sheetView>
  </sheetViews>
  <sheetFormatPr baseColWidth="10" defaultRowHeight="12.5"/>
  <cols>
    <col min="1" max="1" width="46" bestFit="1" customWidth="1"/>
    <col min="2" max="2" width="21.453125" bestFit="1" customWidth="1"/>
    <col min="3" max="7" width="17.453125" customWidth="1"/>
    <col min="8" max="8" width="15.453125" hidden="1" customWidth="1"/>
    <col min="9" max="9" width="11.453125" hidden="1" customWidth="1"/>
    <col min="10" max="10" width="17.54296875" style="1033" hidden="1" customWidth="1"/>
    <col min="11" max="11" width="17.54296875" customWidth="1"/>
    <col min="12" max="12" width="30.7265625" style="921" customWidth="1"/>
    <col min="13" max="16" width="22.7265625" style="901" customWidth="1"/>
  </cols>
  <sheetData>
    <row r="2" spans="1:16" ht="17.149999999999999" customHeight="1">
      <c r="A2" s="984" t="s">
        <v>519</v>
      </c>
      <c r="B2" s="984"/>
      <c r="C2" s="984"/>
      <c r="D2" s="984"/>
      <c r="E2" s="984"/>
      <c r="F2" s="984"/>
      <c r="G2" s="984"/>
    </row>
    <row r="3" spans="1:16" ht="21.65" customHeight="1">
      <c r="A3" s="985" t="s">
        <v>520</v>
      </c>
      <c r="B3" s="986"/>
      <c r="C3" s="907" t="s">
        <v>521</v>
      </c>
      <c r="D3" s="907" t="s">
        <v>522</v>
      </c>
      <c r="E3" s="907" t="s">
        <v>523</v>
      </c>
      <c r="F3" s="907" t="s">
        <v>524</v>
      </c>
      <c r="G3" s="907"/>
      <c r="H3" s="941" t="s">
        <v>729</v>
      </c>
      <c r="I3" s="940" t="s">
        <v>735</v>
      </c>
      <c r="J3" s="1031"/>
      <c r="K3" s="944"/>
      <c r="L3" s="988" t="s">
        <v>510</v>
      </c>
      <c r="M3" s="989"/>
      <c r="N3" s="989"/>
      <c r="O3" s="989"/>
      <c r="P3" s="990"/>
    </row>
    <row r="4" spans="1:16" ht="32.5" customHeight="1">
      <c r="A4" s="985"/>
      <c r="B4" s="987"/>
      <c r="C4" s="906" t="s">
        <v>525</v>
      </c>
      <c r="D4" s="906" t="s">
        <v>526</v>
      </c>
      <c r="E4" s="906" t="s">
        <v>527</v>
      </c>
      <c r="F4" s="906" t="s">
        <v>528</v>
      </c>
      <c r="G4" s="906" t="s">
        <v>529</v>
      </c>
      <c r="H4" s="939" t="s">
        <v>704</v>
      </c>
      <c r="I4" s="939" t="s">
        <v>736</v>
      </c>
      <c r="J4" s="1032"/>
      <c r="K4" s="945"/>
      <c r="L4" s="924"/>
      <c r="M4" s="925" t="s">
        <v>490</v>
      </c>
      <c r="N4" s="925" t="s">
        <v>491</v>
      </c>
      <c r="O4" s="925" t="s">
        <v>492</v>
      </c>
      <c r="P4" s="925" t="s">
        <v>493</v>
      </c>
    </row>
    <row r="5" spans="1:16" ht="14">
      <c r="A5" s="908" t="s">
        <v>530</v>
      </c>
      <c r="B5" s="908" t="s">
        <v>531</v>
      </c>
      <c r="C5" s="1034">
        <f>SUM(C6:C23)</f>
        <v>381.78000000000003</v>
      </c>
      <c r="D5" s="909">
        <f t="shared" ref="D5:F5" si="0">SUM(D6:D23)</f>
        <v>381.78000000000003</v>
      </c>
      <c r="E5" s="909">
        <f t="shared" si="0"/>
        <v>381.78000000000003</v>
      </c>
      <c r="F5" s="909">
        <f t="shared" si="0"/>
        <v>381.78000000000003</v>
      </c>
      <c r="G5" s="908"/>
      <c r="L5" s="922"/>
      <c r="M5" s="923" t="s">
        <v>511</v>
      </c>
      <c r="N5" s="923" t="s">
        <v>512</v>
      </c>
      <c r="O5" s="923" t="s">
        <v>513</v>
      </c>
      <c r="P5" s="923" t="s">
        <v>514</v>
      </c>
    </row>
    <row r="6" spans="1:16">
      <c r="A6" s="910" t="s">
        <v>532</v>
      </c>
      <c r="B6" s="910" t="s">
        <v>533</v>
      </c>
      <c r="C6" s="1024">
        <v>87.6</v>
      </c>
      <c r="D6" s="1024">
        <v>87.6</v>
      </c>
      <c r="E6" s="1024">
        <v>87.6</v>
      </c>
      <c r="F6" s="1024">
        <v>87.6</v>
      </c>
      <c r="G6" s="912"/>
      <c r="H6" t="s">
        <v>710</v>
      </c>
      <c r="I6" t="s">
        <v>722</v>
      </c>
      <c r="L6" s="928"/>
      <c r="M6" s="923" t="s">
        <v>364</v>
      </c>
      <c r="N6" s="923" t="s">
        <v>364</v>
      </c>
      <c r="O6" s="923" t="s">
        <v>364</v>
      </c>
      <c r="P6" s="923" t="s">
        <v>364</v>
      </c>
    </row>
    <row r="7" spans="1:16" ht="13">
      <c r="A7" s="910" t="s">
        <v>534</v>
      </c>
      <c r="B7" s="910" t="s">
        <v>533</v>
      </c>
      <c r="C7" s="1024">
        <v>57.4</v>
      </c>
      <c r="D7" s="1024">
        <v>57.4</v>
      </c>
      <c r="E7" s="1024">
        <v>57.4</v>
      </c>
      <c r="F7" s="1024">
        <v>57.4</v>
      </c>
      <c r="G7" s="912"/>
      <c r="H7" t="s">
        <v>705</v>
      </c>
      <c r="I7" t="s">
        <v>722</v>
      </c>
      <c r="J7" s="1033" t="s">
        <v>757</v>
      </c>
      <c r="L7" s="929" t="s">
        <v>16</v>
      </c>
      <c r="M7" s="927">
        <f>SUM(M9:M10)</f>
        <v>25.58</v>
      </c>
      <c r="N7" s="927">
        <f t="shared" ref="N7:P7" si="1">SUM(N9:N10)</f>
        <v>26.509999999999998</v>
      </c>
      <c r="O7" s="927">
        <f t="shared" si="1"/>
        <v>27.68</v>
      </c>
      <c r="P7" s="927">
        <f t="shared" si="1"/>
        <v>28.91</v>
      </c>
    </row>
    <row r="8" spans="1:16">
      <c r="A8" s="910" t="s">
        <v>535</v>
      </c>
      <c r="B8" s="910" t="s">
        <v>533</v>
      </c>
      <c r="C8" s="1024">
        <v>30</v>
      </c>
      <c r="D8" s="1024">
        <v>30</v>
      </c>
      <c r="E8" s="1024">
        <v>30</v>
      </c>
      <c r="F8" s="1024">
        <v>30</v>
      </c>
      <c r="G8" s="912"/>
      <c r="H8" t="s">
        <v>710</v>
      </c>
      <c r="I8" t="s">
        <v>722</v>
      </c>
      <c r="L8" s="922" t="s">
        <v>87</v>
      </c>
      <c r="M8" s="926"/>
      <c r="N8" s="926"/>
      <c r="O8" s="926"/>
      <c r="P8" s="926"/>
    </row>
    <row r="9" spans="1:16">
      <c r="A9" s="910" t="s">
        <v>536</v>
      </c>
      <c r="B9" s="910" t="s">
        <v>533</v>
      </c>
      <c r="C9" s="1024">
        <v>27.9</v>
      </c>
      <c r="D9" s="1024">
        <v>27.9</v>
      </c>
      <c r="E9" s="1024">
        <v>27.9</v>
      </c>
      <c r="F9" s="1024">
        <v>27.9</v>
      </c>
      <c r="G9" s="912"/>
      <c r="H9" t="s">
        <v>710</v>
      </c>
      <c r="I9" t="s">
        <v>722</v>
      </c>
      <c r="L9" s="922" t="s">
        <v>143</v>
      </c>
      <c r="M9" s="926">
        <v>25.02</v>
      </c>
      <c r="N9" s="926">
        <v>25.99</v>
      </c>
      <c r="O9" s="926">
        <v>27.23</v>
      </c>
      <c r="P9" s="926">
        <v>28.53</v>
      </c>
    </row>
    <row r="10" spans="1:16">
      <c r="A10" s="910" t="s">
        <v>537</v>
      </c>
      <c r="B10" s="910" t="s">
        <v>533</v>
      </c>
      <c r="C10" s="1024">
        <v>10</v>
      </c>
      <c r="D10" s="1024">
        <v>10</v>
      </c>
      <c r="E10" s="1024">
        <v>10</v>
      </c>
      <c r="F10" s="1024">
        <v>10</v>
      </c>
      <c r="G10" s="912"/>
      <c r="H10" t="s">
        <v>710</v>
      </c>
      <c r="I10" t="s">
        <v>726</v>
      </c>
      <c r="J10" s="1033" t="s">
        <v>733</v>
      </c>
      <c r="L10" s="922" t="s">
        <v>145</v>
      </c>
      <c r="M10" s="926">
        <v>0.56000000000000005</v>
      </c>
      <c r="N10" s="926">
        <v>0.52</v>
      </c>
      <c r="O10" s="926">
        <v>0.45</v>
      </c>
      <c r="P10" s="926">
        <v>0.38</v>
      </c>
    </row>
    <row r="11" spans="1:16">
      <c r="A11" s="910" t="s">
        <v>538</v>
      </c>
      <c r="B11" s="910" t="s">
        <v>758</v>
      </c>
      <c r="C11" s="1024">
        <v>10</v>
      </c>
      <c r="D11" s="1024">
        <v>10</v>
      </c>
      <c r="E11" s="1024">
        <v>10</v>
      </c>
      <c r="F11" s="1024">
        <v>10</v>
      </c>
      <c r="G11" s="912"/>
      <c r="H11" t="s">
        <v>710</v>
      </c>
      <c r="I11" t="s">
        <v>722</v>
      </c>
      <c r="J11" s="1033" t="s">
        <v>759</v>
      </c>
      <c r="L11" s="922" t="s">
        <v>146</v>
      </c>
      <c r="M11" s="926"/>
      <c r="N11" s="926"/>
      <c r="O11" s="926"/>
      <c r="P11" s="926"/>
    </row>
    <row r="12" spans="1:16" ht="13">
      <c r="A12" s="910" t="s">
        <v>540</v>
      </c>
      <c r="B12" s="910" t="s">
        <v>539</v>
      </c>
      <c r="C12" s="1024">
        <v>5.5</v>
      </c>
      <c r="D12" s="1024">
        <v>5.5</v>
      </c>
      <c r="E12" s="1024">
        <v>5.5</v>
      </c>
      <c r="F12" s="1024">
        <v>5.5</v>
      </c>
      <c r="G12" s="912"/>
      <c r="H12" t="s">
        <v>710</v>
      </c>
      <c r="I12" t="s">
        <v>722</v>
      </c>
      <c r="J12" s="1033" t="s">
        <v>760</v>
      </c>
      <c r="L12" s="929" t="s">
        <v>17</v>
      </c>
      <c r="M12" s="927"/>
      <c r="N12" s="927"/>
      <c r="O12" s="927"/>
      <c r="P12" s="927"/>
    </row>
    <row r="13" spans="1:16">
      <c r="A13" s="910" t="s">
        <v>541</v>
      </c>
      <c r="B13" s="910" t="s">
        <v>539</v>
      </c>
      <c r="C13" s="913">
        <v>25</v>
      </c>
      <c r="D13" s="913">
        <v>25</v>
      </c>
      <c r="E13" s="913">
        <v>25</v>
      </c>
      <c r="F13" s="913">
        <v>25</v>
      </c>
      <c r="G13" s="912"/>
      <c r="H13" t="s">
        <v>705</v>
      </c>
      <c r="I13" t="s">
        <v>722</v>
      </c>
      <c r="J13" s="1033" t="s">
        <v>761</v>
      </c>
      <c r="L13" s="922" t="s">
        <v>146</v>
      </c>
      <c r="M13" s="926"/>
      <c r="N13" s="926"/>
      <c r="O13" s="926"/>
      <c r="P13" s="926"/>
    </row>
    <row r="14" spans="1:16" ht="13">
      <c r="A14" s="910" t="s">
        <v>542</v>
      </c>
      <c r="B14" s="910" t="s">
        <v>539</v>
      </c>
      <c r="C14" s="913">
        <v>25.9</v>
      </c>
      <c r="D14" s="1024">
        <v>25.9</v>
      </c>
      <c r="E14" s="1024">
        <v>25.9</v>
      </c>
      <c r="F14" s="1024">
        <v>25.9</v>
      </c>
      <c r="G14" s="912"/>
      <c r="H14" t="s">
        <v>710</v>
      </c>
      <c r="I14" t="s">
        <v>722</v>
      </c>
      <c r="J14" s="1033" t="s">
        <v>762</v>
      </c>
      <c r="L14" s="929" t="s">
        <v>18</v>
      </c>
      <c r="M14" s="927">
        <f>SUM(M15:M16)</f>
        <v>0.09</v>
      </c>
      <c r="N14" s="927">
        <f t="shared" ref="N14:P14" si="2">SUM(N15:N16)</f>
        <v>0.09</v>
      </c>
      <c r="O14" s="927">
        <f t="shared" si="2"/>
        <v>0.09</v>
      </c>
      <c r="P14" s="927">
        <f t="shared" si="2"/>
        <v>0.09</v>
      </c>
    </row>
    <row r="15" spans="1:16">
      <c r="A15" s="910" t="s">
        <v>543</v>
      </c>
      <c r="B15" s="910" t="s">
        <v>539</v>
      </c>
      <c r="C15" s="913">
        <v>10</v>
      </c>
      <c r="D15" s="913">
        <v>10</v>
      </c>
      <c r="E15" s="913">
        <v>10</v>
      </c>
      <c r="F15" s="913">
        <v>10</v>
      </c>
      <c r="G15" s="912"/>
      <c r="H15" t="s">
        <v>710</v>
      </c>
      <c r="I15" t="s">
        <v>722</v>
      </c>
      <c r="J15" s="1033" t="s">
        <v>763</v>
      </c>
      <c r="L15" s="922" t="s">
        <v>87</v>
      </c>
      <c r="M15" s="926"/>
      <c r="N15" s="926"/>
      <c r="O15" s="926"/>
      <c r="P15" s="926"/>
    </row>
    <row r="16" spans="1:16">
      <c r="A16" s="910" t="s">
        <v>544</v>
      </c>
      <c r="B16" s="910" t="s">
        <v>539</v>
      </c>
      <c r="C16" s="913">
        <v>10</v>
      </c>
      <c r="D16" s="913">
        <v>10</v>
      </c>
      <c r="E16" s="913">
        <v>10</v>
      </c>
      <c r="F16" s="913">
        <v>10</v>
      </c>
      <c r="G16" s="912"/>
      <c r="H16" t="s">
        <v>710</v>
      </c>
      <c r="I16" t="s">
        <v>722</v>
      </c>
      <c r="J16" s="1033" t="s">
        <v>763</v>
      </c>
      <c r="L16" s="922" t="s">
        <v>88</v>
      </c>
      <c r="M16" s="926">
        <v>0.09</v>
      </c>
      <c r="N16" s="926">
        <v>0.09</v>
      </c>
      <c r="O16" s="926">
        <v>0.09</v>
      </c>
      <c r="P16" s="926">
        <v>0.09</v>
      </c>
    </row>
    <row r="17" spans="1:16">
      <c r="A17" s="910" t="s">
        <v>545</v>
      </c>
      <c r="B17" s="910" t="s">
        <v>539</v>
      </c>
      <c r="C17" s="913">
        <v>10</v>
      </c>
      <c r="D17" s="913">
        <v>10</v>
      </c>
      <c r="E17" s="913">
        <v>10</v>
      </c>
      <c r="F17" s="913">
        <v>10</v>
      </c>
      <c r="G17" s="912"/>
      <c r="H17" t="s">
        <v>710</v>
      </c>
      <c r="I17" t="s">
        <v>722</v>
      </c>
      <c r="J17" s="1033" t="s">
        <v>764</v>
      </c>
      <c r="L17" s="922" t="s">
        <v>146</v>
      </c>
      <c r="M17" s="926"/>
      <c r="N17" s="926"/>
      <c r="O17" s="926"/>
      <c r="P17" s="926"/>
    </row>
    <row r="18" spans="1:16" ht="13">
      <c r="A18" s="910" t="s">
        <v>546</v>
      </c>
      <c r="B18" s="910" t="s">
        <v>539</v>
      </c>
      <c r="C18" s="913">
        <v>10</v>
      </c>
      <c r="D18" s="913">
        <v>10</v>
      </c>
      <c r="E18" s="913">
        <v>10</v>
      </c>
      <c r="F18" s="913">
        <v>10</v>
      </c>
      <c r="G18" s="912"/>
      <c r="H18" t="s">
        <v>710</v>
      </c>
      <c r="I18" t="s">
        <v>723</v>
      </c>
      <c r="J18" s="1033" t="s">
        <v>763</v>
      </c>
      <c r="L18" s="929" t="s">
        <v>19</v>
      </c>
      <c r="M18" s="927">
        <f>SUM(M21:M21)</f>
        <v>139.01</v>
      </c>
      <c r="N18" s="927">
        <f>SUM(N21:N21)</f>
        <v>140.5</v>
      </c>
      <c r="O18" s="927">
        <f>SUM(O21:O21)</f>
        <v>142.41</v>
      </c>
      <c r="P18" s="927">
        <f>SUM(P21:P21)</f>
        <v>144.69999999999999</v>
      </c>
    </row>
    <row r="19" spans="1:16">
      <c r="A19" s="910" t="s">
        <v>547</v>
      </c>
      <c r="B19" s="910" t="s">
        <v>539</v>
      </c>
      <c r="C19" s="913">
        <v>10</v>
      </c>
      <c r="D19" s="913">
        <v>10</v>
      </c>
      <c r="E19" s="913">
        <v>10</v>
      </c>
      <c r="F19" s="913">
        <v>10</v>
      </c>
      <c r="G19" s="912"/>
      <c r="H19" t="s">
        <v>710</v>
      </c>
      <c r="I19" t="s">
        <v>722</v>
      </c>
      <c r="J19" s="1033" t="s">
        <v>764</v>
      </c>
      <c r="L19" s="922" t="s">
        <v>87</v>
      </c>
      <c r="M19" s="926"/>
      <c r="N19" s="926"/>
      <c r="O19" s="926"/>
      <c r="P19" s="926"/>
    </row>
    <row r="20" spans="1:16">
      <c r="A20" s="910" t="s">
        <v>548</v>
      </c>
      <c r="B20" s="910" t="s">
        <v>539</v>
      </c>
      <c r="C20" s="913">
        <v>19.88</v>
      </c>
      <c r="D20" s="913">
        <v>19.88</v>
      </c>
      <c r="E20" s="913">
        <v>19.88</v>
      </c>
      <c r="F20" s="913">
        <v>19.88</v>
      </c>
      <c r="G20" s="912"/>
      <c r="H20" t="s">
        <v>710</v>
      </c>
      <c r="I20" t="s">
        <v>722</v>
      </c>
      <c r="J20" s="1033" t="s">
        <v>765</v>
      </c>
      <c r="L20" s="930" t="s">
        <v>148</v>
      </c>
      <c r="M20" s="926"/>
      <c r="N20" s="926"/>
      <c r="O20" s="926"/>
      <c r="P20" s="926"/>
    </row>
    <row r="21" spans="1:16">
      <c r="A21" s="910" t="s">
        <v>549</v>
      </c>
      <c r="B21" s="910" t="s">
        <v>539</v>
      </c>
      <c r="C21" s="915">
        <v>17.600000000000001</v>
      </c>
      <c r="D21" s="915">
        <v>17.600000000000001</v>
      </c>
      <c r="E21" s="915">
        <v>17.600000000000001</v>
      </c>
      <c r="F21" s="915">
        <v>17.600000000000001</v>
      </c>
      <c r="G21" s="916"/>
      <c r="H21" t="s">
        <v>710</v>
      </c>
      <c r="I21" t="s">
        <v>722</v>
      </c>
      <c r="J21" s="1033" t="s">
        <v>766</v>
      </c>
      <c r="L21" s="930" t="s">
        <v>149</v>
      </c>
      <c r="M21" s="926">
        <v>139.01</v>
      </c>
      <c r="N21" s="926">
        <v>140.5</v>
      </c>
      <c r="O21" s="926">
        <v>142.41</v>
      </c>
      <c r="P21" s="926">
        <v>144.69999999999999</v>
      </c>
    </row>
    <row r="22" spans="1:16">
      <c r="A22" s="910" t="s">
        <v>767</v>
      </c>
      <c r="B22" s="910" t="s">
        <v>539</v>
      </c>
      <c r="C22" s="915">
        <v>10</v>
      </c>
      <c r="D22" s="915">
        <v>10</v>
      </c>
      <c r="E22" s="915">
        <v>10</v>
      </c>
      <c r="F22" s="915">
        <v>10</v>
      </c>
      <c r="G22" s="916"/>
      <c r="L22" s="922" t="s">
        <v>146</v>
      </c>
      <c r="M22" s="926"/>
      <c r="N22" s="926"/>
      <c r="O22" s="926"/>
      <c r="P22" s="926"/>
    </row>
    <row r="23" spans="1:16" ht="13">
      <c r="A23" s="910" t="s">
        <v>768</v>
      </c>
      <c r="B23" s="910" t="s">
        <v>539</v>
      </c>
      <c r="C23" s="915">
        <v>5</v>
      </c>
      <c r="D23" s="915">
        <v>5</v>
      </c>
      <c r="E23" s="915">
        <v>5</v>
      </c>
      <c r="F23" s="915">
        <v>5</v>
      </c>
      <c r="G23" s="916"/>
      <c r="H23" t="s">
        <v>705</v>
      </c>
      <c r="L23" s="929" t="s">
        <v>20</v>
      </c>
      <c r="M23" s="927">
        <f>SUM(M24:M31)</f>
        <v>224.36</v>
      </c>
      <c r="N23" s="927">
        <f>SUM(N24:N31)</f>
        <v>224.51</v>
      </c>
      <c r="O23" s="927">
        <f>SUM(O24:O31)</f>
        <v>224.8</v>
      </c>
      <c r="P23" s="927">
        <f>SUM(P24:P31)</f>
        <v>225.22</v>
      </c>
    </row>
    <row r="24" spans="1:16" ht="14">
      <c r="A24" s="908" t="s">
        <v>550</v>
      </c>
      <c r="B24" s="908"/>
      <c r="C24" s="909">
        <f>SUM(C25:C30)</f>
        <v>548.68000000000006</v>
      </c>
      <c r="D24" s="909">
        <f t="shared" ref="D24:F24" si="3">SUM(D25:D30)</f>
        <v>548.68000000000006</v>
      </c>
      <c r="E24" s="909">
        <f t="shared" si="3"/>
        <v>548.68000000000006</v>
      </c>
      <c r="F24" s="909">
        <f t="shared" si="3"/>
        <v>548.68000000000006</v>
      </c>
      <c r="G24" s="908"/>
      <c r="L24" s="922" t="s">
        <v>151</v>
      </c>
      <c r="M24" s="926"/>
      <c r="N24" s="926"/>
      <c r="O24" s="926"/>
      <c r="P24" s="926"/>
    </row>
    <row r="25" spans="1:16">
      <c r="A25" s="910" t="s">
        <v>551</v>
      </c>
      <c r="B25" s="910" t="s">
        <v>533</v>
      </c>
      <c r="C25" s="1024">
        <v>300</v>
      </c>
      <c r="D25" s="1024">
        <v>300</v>
      </c>
      <c r="E25" s="1024">
        <v>300</v>
      </c>
      <c r="F25" s="1024">
        <v>300</v>
      </c>
      <c r="G25" s="912"/>
      <c r="H25" t="s">
        <v>705</v>
      </c>
      <c r="I25" t="s">
        <v>717</v>
      </c>
      <c r="J25" s="1033" t="s">
        <v>769</v>
      </c>
      <c r="L25" s="922" t="s">
        <v>734</v>
      </c>
      <c r="M25" s="926">
        <v>200.59</v>
      </c>
      <c r="N25" s="926">
        <v>200.73</v>
      </c>
      <c r="O25" s="926">
        <v>201.02</v>
      </c>
      <c r="P25" s="926">
        <v>201.43</v>
      </c>
    </row>
    <row r="26" spans="1:16">
      <c r="A26" s="910" t="s">
        <v>552</v>
      </c>
      <c r="B26" s="910" t="s">
        <v>533</v>
      </c>
      <c r="C26" s="1024">
        <v>120</v>
      </c>
      <c r="D26" s="1024">
        <v>120</v>
      </c>
      <c r="E26" s="1024">
        <v>120</v>
      </c>
      <c r="F26" s="1024">
        <v>120</v>
      </c>
      <c r="G26" s="912"/>
      <c r="H26" t="s">
        <v>705</v>
      </c>
      <c r="I26" t="s">
        <v>715</v>
      </c>
      <c r="J26" s="1033" t="s">
        <v>770</v>
      </c>
      <c r="L26" s="922" t="s">
        <v>154</v>
      </c>
      <c r="M26" s="926"/>
      <c r="N26" s="926"/>
      <c r="O26" s="926"/>
      <c r="P26" s="926"/>
    </row>
    <row r="27" spans="1:16">
      <c r="A27" s="910" t="s">
        <v>553</v>
      </c>
      <c r="B27" s="910" t="s">
        <v>533</v>
      </c>
      <c r="C27" s="1024">
        <v>35</v>
      </c>
      <c r="D27" s="1024">
        <v>35</v>
      </c>
      <c r="E27" s="1024">
        <v>35</v>
      </c>
      <c r="F27" s="1024">
        <v>35</v>
      </c>
      <c r="G27" s="912"/>
      <c r="H27" t="s">
        <v>710</v>
      </c>
      <c r="I27" t="s">
        <v>716</v>
      </c>
      <c r="J27" s="1033" t="s">
        <v>771</v>
      </c>
      <c r="L27" s="922" t="s">
        <v>155</v>
      </c>
      <c r="M27" s="926">
        <v>0.94</v>
      </c>
      <c r="N27" s="926">
        <v>0.94</v>
      </c>
      <c r="O27" s="926">
        <v>0.94</v>
      </c>
      <c r="P27" s="926">
        <v>0.94</v>
      </c>
    </row>
    <row r="28" spans="1:16">
      <c r="A28" s="910" t="s">
        <v>554</v>
      </c>
      <c r="B28" s="910" t="s">
        <v>533</v>
      </c>
      <c r="C28" s="913">
        <v>58.69</v>
      </c>
      <c r="D28" s="913">
        <v>58.69</v>
      </c>
      <c r="E28" s="913">
        <v>58.69</v>
      </c>
      <c r="F28" s="913">
        <v>58.69</v>
      </c>
      <c r="G28" s="912"/>
      <c r="H28" t="s">
        <v>710</v>
      </c>
      <c r="I28" t="s">
        <v>716</v>
      </c>
      <c r="J28" s="1033" t="s">
        <v>771</v>
      </c>
      <c r="L28" s="922" t="s">
        <v>385</v>
      </c>
      <c r="M28" s="926"/>
      <c r="N28" s="926"/>
      <c r="O28" s="926"/>
      <c r="P28" s="926"/>
    </row>
    <row r="29" spans="1:16">
      <c r="A29" s="910" t="s">
        <v>555</v>
      </c>
      <c r="B29" s="910" t="s">
        <v>539</v>
      </c>
      <c r="C29" s="913">
        <v>9.69</v>
      </c>
      <c r="D29" s="913">
        <v>9.69</v>
      </c>
      <c r="E29" s="913">
        <v>9.69</v>
      </c>
      <c r="F29" s="913">
        <v>9.69</v>
      </c>
      <c r="G29" s="912"/>
      <c r="H29" t="s">
        <v>710</v>
      </c>
      <c r="I29" t="s">
        <v>716</v>
      </c>
      <c r="J29" s="1033" t="s">
        <v>772</v>
      </c>
      <c r="L29" s="922" t="s">
        <v>756</v>
      </c>
      <c r="M29" s="926">
        <v>0.83</v>
      </c>
      <c r="N29" s="926">
        <v>0.84</v>
      </c>
      <c r="O29" s="926">
        <v>0.84</v>
      </c>
      <c r="P29" s="926">
        <v>0.85</v>
      </c>
    </row>
    <row r="30" spans="1:16">
      <c r="A30" s="910" t="s">
        <v>773</v>
      </c>
      <c r="B30" s="910" t="s">
        <v>533</v>
      </c>
      <c r="C30" s="913">
        <v>25.3</v>
      </c>
      <c r="D30" s="913">
        <v>25.3</v>
      </c>
      <c r="E30" s="913">
        <v>25.3</v>
      </c>
      <c r="F30" s="913">
        <v>25.3</v>
      </c>
      <c r="G30" s="912"/>
      <c r="H30" t="s">
        <v>705</v>
      </c>
      <c r="I30" t="s">
        <v>716</v>
      </c>
      <c r="L30" s="922" t="s">
        <v>388</v>
      </c>
      <c r="M30" s="926"/>
      <c r="N30" s="926"/>
      <c r="O30" s="926"/>
      <c r="P30" s="926"/>
    </row>
    <row r="31" spans="1:16" ht="14">
      <c r="A31" s="908" t="s">
        <v>556</v>
      </c>
      <c r="B31" s="908"/>
      <c r="C31" s="1034">
        <f>SUM(C32:C42)</f>
        <v>194.10000000000005</v>
      </c>
      <c r="D31" s="909">
        <f t="shared" ref="D31:F31" si="4">SUM(D32:D42)</f>
        <v>194.10000000000005</v>
      </c>
      <c r="E31" s="909">
        <f t="shared" si="4"/>
        <v>194.10000000000005</v>
      </c>
      <c r="F31" s="909">
        <f t="shared" si="4"/>
        <v>194.10000000000005</v>
      </c>
      <c r="G31" s="908"/>
      <c r="H31" t="s">
        <v>705</v>
      </c>
      <c r="I31" t="s">
        <v>716</v>
      </c>
      <c r="L31" s="922" t="s">
        <v>389</v>
      </c>
      <c r="M31" s="926">
        <v>22</v>
      </c>
      <c r="N31" s="926">
        <v>22</v>
      </c>
      <c r="O31" s="926">
        <v>22</v>
      </c>
      <c r="P31" s="926">
        <v>22</v>
      </c>
    </row>
    <row r="32" spans="1:16">
      <c r="A32" s="910" t="s">
        <v>557</v>
      </c>
      <c r="B32" s="910" t="s">
        <v>533</v>
      </c>
      <c r="C32" s="1024">
        <v>47.2</v>
      </c>
      <c r="D32" s="1024">
        <v>47.2</v>
      </c>
      <c r="E32" s="1024">
        <v>47.2</v>
      </c>
      <c r="F32" s="1024">
        <v>47.2</v>
      </c>
      <c r="G32" s="912"/>
      <c r="H32" t="s">
        <v>705</v>
      </c>
      <c r="I32" t="s">
        <v>709</v>
      </c>
      <c r="J32" s="1033" t="s">
        <v>770</v>
      </c>
      <c r="L32" s="922" t="s">
        <v>146</v>
      </c>
      <c r="M32" s="926"/>
      <c r="N32" s="926"/>
      <c r="O32" s="926"/>
      <c r="P32" s="926"/>
    </row>
    <row r="33" spans="1:16" ht="13">
      <c r="A33" s="910" t="s">
        <v>558</v>
      </c>
      <c r="B33" s="910" t="s">
        <v>533</v>
      </c>
      <c r="C33" s="913">
        <v>54.8</v>
      </c>
      <c r="D33" s="913">
        <v>54.8</v>
      </c>
      <c r="E33" s="913">
        <v>54.8</v>
      </c>
      <c r="F33" s="913">
        <v>54.8</v>
      </c>
      <c r="G33" s="912"/>
      <c r="H33" t="s">
        <v>705</v>
      </c>
      <c r="I33" t="s">
        <v>709</v>
      </c>
      <c r="J33" s="1033" t="s">
        <v>774</v>
      </c>
      <c r="L33" s="929" t="s">
        <v>21</v>
      </c>
      <c r="M33" s="927">
        <f>SUM(M34:M39)</f>
        <v>269.92999999999995</v>
      </c>
      <c r="N33" s="927">
        <f>SUM(N34:N39)</f>
        <v>279.05999999999995</v>
      </c>
      <c r="O33" s="927">
        <f>SUM(O34:O39)</f>
        <v>286.99</v>
      </c>
      <c r="P33" s="927">
        <f>SUM(P34:P39)</f>
        <v>295.17999999999995</v>
      </c>
    </row>
    <row r="34" spans="1:16">
      <c r="A34" s="910" t="s">
        <v>559</v>
      </c>
      <c r="B34" s="910" t="s">
        <v>533</v>
      </c>
      <c r="C34" s="913">
        <v>19.75</v>
      </c>
      <c r="D34" s="913">
        <v>19.75</v>
      </c>
      <c r="E34" s="913">
        <v>19.75</v>
      </c>
      <c r="F34" s="913">
        <v>19.75</v>
      </c>
      <c r="G34" s="912"/>
      <c r="H34" t="s">
        <v>705</v>
      </c>
      <c r="I34" t="s">
        <v>709</v>
      </c>
      <c r="J34" s="1033" t="s">
        <v>775</v>
      </c>
      <c r="L34" s="922" t="s">
        <v>151</v>
      </c>
      <c r="M34" s="926"/>
      <c r="N34" s="926"/>
      <c r="O34" s="926"/>
      <c r="P34" s="926"/>
    </row>
    <row r="35" spans="1:16">
      <c r="A35" s="910" t="s">
        <v>560</v>
      </c>
      <c r="B35" s="910" t="s">
        <v>533</v>
      </c>
      <c r="C35" s="1024">
        <v>15.5</v>
      </c>
      <c r="D35" s="1024">
        <v>15.5</v>
      </c>
      <c r="E35" s="1024">
        <v>15.5</v>
      </c>
      <c r="F35" s="1024">
        <v>15.5</v>
      </c>
      <c r="G35" s="912"/>
      <c r="H35" t="s">
        <v>705</v>
      </c>
      <c r="I35" t="s">
        <v>709</v>
      </c>
      <c r="J35" s="1033" t="s">
        <v>776</v>
      </c>
      <c r="L35" s="922" t="s">
        <v>159</v>
      </c>
      <c r="M35" s="926">
        <v>208.67</v>
      </c>
      <c r="N35" s="926">
        <v>217.48</v>
      </c>
      <c r="O35" s="926">
        <v>225.08</v>
      </c>
      <c r="P35" s="926">
        <v>232.94</v>
      </c>
    </row>
    <row r="36" spans="1:16">
      <c r="A36" s="910" t="s">
        <v>561</v>
      </c>
      <c r="B36" s="910" t="s">
        <v>533</v>
      </c>
      <c r="C36" s="1024">
        <v>9.73</v>
      </c>
      <c r="D36" s="1024">
        <v>9.73</v>
      </c>
      <c r="E36" s="1024">
        <v>9.73</v>
      </c>
      <c r="F36" s="1024">
        <v>9.73</v>
      </c>
      <c r="G36" s="912"/>
      <c r="H36" t="s">
        <v>705</v>
      </c>
      <c r="I36" t="s">
        <v>709</v>
      </c>
      <c r="J36" s="1033" t="s">
        <v>777</v>
      </c>
      <c r="L36" s="922" t="s">
        <v>696</v>
      </c>
      <c r="M36" s="926">
        <v>60.61</v>
      </c>
      <c r="N36" s="923">
        <v>60.93</v>
      </c>
      <c r="O36" s="923">
        <v>61.26</v>
      </c>
      <c r="P36" s="923">
        <v>61.59</v>
      </c>
    </row>
    <row r="37" spans="1:16">
      <c r="A37" s="910" t="s">
        <v>562</v>
      </c>
      <c r="B37" s="910" t="s">
        <v>533</v>
      </c>
      <c r="C37" s="1024">
        <v>7.8</v>
      </c>
      <c r="D37" s="1024">
        <v>7.8</v>
      </c>
      <c r="E37" s="1024">
        <v>7.8</v>
      </c>
      <c r="F37" s="1024">
        <v>7.8</v>
      </c>
      <c r="G37" s="912"/>
      <c r="H37" t="s">
        <v>705</v>
      </c>
      <c r="I37" t="s">
        <v>709</v>
      </c>
      <c r="J37" s="1033" t="s">
        <v>778</v>
      </c>
      <c r="L37" s="922" t="s">
        <v>154</v>
      </c>
      <c r="M37" s="926"/>
      <c r="N37" s="926"/>
      <c r="O37" s="926"/>
      <c r="P37" s="926"/>
    </row>
    <row r="38" spans="1:16">
      <c r="A38" s="910" t="s">
        <v>779</v>
      </c>
      <c r="B38" s="910" t="s">
        <v>539</v>
      </c>
      <c r="C38" s="913">
        <v>5</v>
      </c>
      <c r="D38" s="913">
        <v>5</v>
      </c>
      <c r="E38" s="913">
        <v>5</v>
      </c>
      <c r="F38" s="913">
        <v>5</v>
      </c>
      <c r="G38" s="912"/>
      <c r="H38" t="s">
        <v>710</v>
      </c>
      <c r="I38" t="s">
        <v>709</v>
      </c>
      <c r="J38" s="1033" t="s">
        <v>780</v>
      </c>
      <c r="L38" s="922" t="s">
        <v>155</v>
      </c>
      <c r="M38" s="926">
        <v>0.32</v>
      </c>
      <c r="N38" s="926">
        <v>0.32</v>
      </c>
      <c r="O38" s="926">
        <v>0.32</v>
      </c>
      <c r="P38" s="926">
        <v>0.32</v>
      </c>
    </row>
    <row r="39" spans="1:16">
      <c r="A39" s="910" t="s">
        <v>781</v>
      </c>
      <c r="B39" s="910" t="s">
        <v>539</v>
      </c>
      <c r="C39" s="1024">
        <v>8.58</v>
      </c>
      <c r="D39" s="1024">
        <v>8.58</v>
      </c>
      <c r="E39" s="1024">
        <v>8.58</v>
      </c>
      <c r="F39" s="1024">
        <v>8.58</v>
      </c>
      <c r="G39" s="912"/>
      <c r="L39" s="922" t="s">
        <v>391</v>
      </c>
      <c r="M39" s="926">
        <v>0.33</v>
      </c>
      <c r="N39" s="926">
        <v>0.33</v>
      </c>
      <c r="O39" s="926">
        <v>0.33</v>
      </c>
      <c r="P39" s="926">
        <v>0.33</v>
      </c>
    </row>
    <row r="40" spans="1:16">
      <c r="A40" s="910" t="s">
        <v>563</v>
      </c>
      <c r="B40" s="910" t="s">
        <v>539</v>
      </c>
      <c r="C40" s="1024">
        <v>8.58</v>
      </c>
      <c r="D40" s="1024">
        <v>8.58</v>
      </c>
      <c r="E40" s="1024">
        <v>8.58</v>
      </c>
      <c r="F40" s="1024">
        <v>8.58</v>
      </c>
      <c r="G40" s="912"/>
      <c r="H40" t="s">
        <v>710</v>
      </c>
      <c r="I40" t="s">
        <v>717</v>
      </c>
      <c r="J40" s="1033" t="s">
        <v>782</v>
      </c>
      <c r="L40" s="922" t="s">
        <v>146</v>
      </c>
      <c r="M40" s="926"/>
      <c r="N40" s="926"/>
      <c r="O40" s="926"/>
      <c r="P40" s="926"/>
    </row>
    <row r="41" spans="1:16" ht="13">
      <c r="A41" s="910" t="s">
        <v>564</v>
      </c>
      <c r="B41" s="910" t="s">
        <v>539</v>
      </c>
      <c r="C41" s="1024">
        <v>8.58</v>
      </c>
      <c r="D41" s="1024">
        <v>8.58</v>
      </c>
      <c r="E41" s="1024">
        <v>8.58</v>
      </c>
      <c r="F41" s="1024">
        <v>8.58</v>
      </c>
      <c r="G41" s="912"/>
      <c r="H41" t="s">
        <v>710</v>
      </c>
      <c r="I41" t="s">
        <v>717</v>
      </c>
      <c r="J41" s="1033" t="s">
        <v>783</v>
      </c>
      <c r="L41" s="929" t="s">
        <v>22</v>
      </c>
      <c r="M41" s="927">
        <f>SUM(M42:M59)</f>
        <v>1039.24</v>
      </c>
      <c r="N41" s="927">
        <f>SUM(N42:N59)</f>
        <v>1044.21</v>
      </c>
      <c r="O41" s="927">
        <f>SUM(O42:O59)</f>
        <v>1066.42</v>
      </c>
      <c r="P41" s="927">
        <f>SUM(P42:P59)</f>
        <v>1084.07</v>
      </c>
    </row>
    <row r="42" spans="1:16">
      <c r="A42" s="910" t="s">
        <v>565</v>
      </c>
      <c r="B42" s="910" t="s">
        <v>539</v>
      </c>
      <c r="C42" s="1024">
        <v>8.58</v>
      </c>
      <c r="D42" s="1024">
        <v>8.58</v>
      </c>
      <c r="E42" s="1024">
        <v>8.58</v>
      </c>
      <c r="F42" s="1024">
        <v>8.58</v>
      </c>
      <c r="G42" s="912"/>
      <c r="H42" t="s">
        <v>710</v>
      </c>
      <c r="I42" t="s">
        <v>717</v>
      </c>
      <c r="J42" s="1033" t="s">
        <v>783</v>
      </c>
      <c r="L42" s="922" t="s">
        <v>151</v>
      </c>
      <c r="M42" s="926"/>
      <c r="N42" s="926"/>
      <c r="O42" s="926"/>
      <c r="P42" s="926"/>
    </row>
    <row r="43" spans="1:16" ht="14">
      <c r="A43" s="908" t="s">
        <v>566</v>
      </c>
      <c r="B43" s="908"/>
      <c r="C43" s="1034">
        <f>SUM(C44:C100)</f>
        <v>613.9747799999999</v>
      </c>
      <c r="D43" s="1034">
        <f t="shared" ref="D43:F43" si="5">SUM(D44:D100)</f>
        <v>778.77477999999974</v>
      </c>
      <c r="E43" s="1034">
        <f t="shared" si="5"/>
        <v>808.77477999999974</v>
      </c>
      <c r="F43" s="1034">
        <f t="shared" si="5"/>
        <v>871.77477999999974</v>
      </c>
      <c r="G43" s="908"/>
      <c r="L43" s="922" t="s">
        <v>166</v>
      </c>
      <c r="M43" s="926">
        <v>492.41</v>
      </c>
      <c r="N43" s="926">
        <v>500.36</v>
      </c>
      <c r="O43" s="926">
        <v>509.34</v>
      </c>
      <c r="P43" s="926">
        <v>518.07000000000005</v>
      </c>
    </row>
    <row r="44" spans="1:16">
      <c r="A44" s="910" t="s">
        <v>567</v>
      </c>
      <c r="B44" s="910" t="s">
        <v>533</v>
      </c>
      <c r="C44" s="1024">
        <v>10</v>
      </c>
      <c r="D44" s="1024">
        <v>10</v>
      </c>
      <c r="E44" s="1024">
        <v>10</v>
      </c>
      <c r="F44" s="1024">
        <v>10</v>
      </c>
      <c r="G44" s="911"/>
      <c r="H44" t="s">
        <v>705</v>
      </c>
      <c r="I44" t="s">
        <v>707</v>
      </c>
      <c r="J44" s="1033" t="s">
        <v>784</v>
      </c>
      <c r="L44" s="922" t="s">
        <v>495</v>
      </c>
      <c r="M44" s="926"/>
      <c r="N44" s="926"/>
      <c r="O44" s="926"/>
      <c r="P44" s="926"/>
    </row>
    <row r="45" spans="1:16">
      <c r="A45" s="910" t="s">
        <v>785</v>
      </c>
      <c r="B45" s="910" t="s">
        <v>533</v>
      </c>
      <c r="C45" s="1024">
        <v>5.8</v>
      </c>
      <c r="D45" s="1024">
        <v>5.8</v>
      </c>
      <c r="E45" s="1024">
        <v>5.8</v>
      </c>
      <c r="F45" s="1024">
        <v>5.8</v>
      </c>
      <c r="G45" s="911"/>
      <c r="H45" t="s">
        <v>705</v>
      </c>
      <c r="I45" t="s">
        <v>707</v>
      </c>
      <c r="J45" s="1033" t="s">
        <v>786</v>
      </c>
      <c r="L45" s="922" t="s">
        <v>174</v>
      </c>
      <c r="M45" s="926">
        <v>0.37</v>
      </c>
      <c r="N45" s="926">
        <v>0.37</v>
      </c>
      <c r="O45" s="926">
        <v>0.37</v>
      </c>
      <c r="P45" s="926">
        <v>0.37</v>
      </c>
    </row>
    <row r="46" spans="1:16">
      <c r="A46" s="910" t="s">
        <v>568</v>
      </c>
      <c r="B46" s="910" t="s">
        <v>533</v>
      </c>
      <c r="C46" s="1024">
        <v>6</v>
      </c>
      <c r="D46" s="1024">
        <v>6</v>
      </c>
      <c r="E46" s="1024">
        <v>6</v>
      </c>
      <c r="F46" s="1024">
        <v>6</v>
      </c>
      <c r="G46" s="911"/>
      <c r="H46" t="s">
        <v>710</v>
      </c>
      <c r="I46" t="s">
        <v>737</v>
      </c>
      <c r="J46" s="1033" t="s">
        <v>787</v>
      </c>
      <c r="L46" s="922" t="s">
        <v>515</v>
      </c>
      <c r="M46" s="926">
        <v>1.21</v>
      </c>
      <c r="N46" s="926">
        <v>1.21</v>
      </c>
      <c r="O46" s="926">
        <v>1.21</v>
      </c>
      <c r="P46" s="926">
        <v>1.21</v>
      </c>
    </row>
    <row r="47" spans="1:16">
      <c r="A47" s="910" t="s">
        <v>569</v>
      </c>
      <c r="B47" s="910" t="s">
        <v>533</v>
      </c>
      <c r="C47" s="1024">
        <v>4.75</v>
      </c>
      <c r="D47" s="1024">
        <v>4.75</v>
      </c>
      <c r="E47" s="1024">
        <v>4.75</v>
      </c>
      <c r="F47" s="1024">
        <v>4.75</v>
      </c>
      <c r="G47" s="911"/>
      <c r="H47" t="s">
        <v>710</v>
      </c>
      <c r="I47" t="s">
        <v>737</v>
      </c>
      <c r="J47" s="1033" t="s">
        <v>788</v>
      </c>
      <c r="L47" s="922" t="s">
        <v>395</v>
      </c>
      <c r="M47" s="926">
        <v>0.32</v>
      </c>
      <c r="N47" s="926">
        <v>0.32</v>
      </c>
      <c r="O47" s="926">
        <v>0.32</v>
      </c>
      <c r="P47" s="926">
        <v>0.32</v>
      </c>
    </row>
    <row r="48" spans="1:16">
      <c r="A48" s="910" t="s">
        <v>570</v>
      </c>
      <c r="B48" s="910" t="s">
        <v>533</v>
      </c>
      <c r="C48" s="1024">
        <v>20.100000000000001</v>
      </c>
      <c r="D48" s="1024">
        <v>20.100000000000001</v>
      </c>
      <c r="E48" s="1024">
        <v>20.100000000000001</v>
      </c>
      <c r="F48" s="1024">
        <v>20.100000000000001</v>
      </c>
      <c r="G48" s="911"/>
      <c r="H48" t="s">
        <v>705</v>
      </c>
      <c r="I48" t="s">
        <v>707</v>
      </c>
      <c r="J48" s="1033" t="s">
        <v>789</v>
      </c>
      <c r="L48" s="922" t="s">
        <v>396</v>
      </c>
      <c r="M48" s="926"/>
      <c r="N48" s="926"/>
      <c r="O48" s="926"/>
      <c r="P48" s="926"/>
    </row>
    <row r="49" spans="1:16">
      <c r="A49" s="910" t="s">
        <v>571</v>
      </c>
      <c r="B49" s="910" t="s">
        <v>533</v>
      </c>
      <c r="C49" s="1024">
        <v>12.52</v>
      </c>
      <c r="D49" s="1024">
        <v>12.52</v>
      </c>
      <c r="E49" s="1024">
        <v>12.52</v>
      </c>
      <c r="F49" s="1024">
        <v>12.52</v>
      </c>
      <c r="G49" s="911"/>
      <c r="H49" t="s">
        <v>705</v>
      </c>
      <c r="I49" t="s">
        <v>707</v>
      </c>
      <c r="J49" s="1033" t="s">
        <v>789</v>
      </c>
      <c r="L49" s="922" t="s">
        <v>155</v>
      </c>
      <c r="M49" s="926">
        <v>1.33</v>
      </c>
      <c r="N49" s="926">
        <v>1.33</v>
      </c>
      <c r="O49" s="926">
        <v>1.33</v>
      </c>
      <c r="P49" s="926">
        <v>1.33</v>
      </c>
    </row>
    <row r="50" spans="1:16">
      <c r="A50" s="910" t="s">
        <v>572</v>
      </c>
      <c r="B50" s="910" t="s">
        <v>533</v>
      </c>
      <c r="C50" s="1024">
        <v>14</v>
      </c>
      <c r="D50" s="1024">
        <v>14</v>
      </c>
      <c r="E50" s="1024">
        <v>14</v>
      </c>
      <c r="F50" s="1024">
        <v>14</v>
      </c>
      <c r="G50" s="911"/>
      <c r="H50" t="s">
        <v>705</v>
      </c>
      <c r="I50" t="s">
        <v>707</v>
      </c>
      <c r="J50" s="1033" t="s">
        <v>790</v>
      </c>
      <c r="L50" s="922"/>
      <c r="M50" s="926"/>
      <c r="N50" s="926"/>
      <c r="O50" s="926"/>
      <c r="P50" s="926"/>
    </row>
    <row r="51" spans="1:16">
      <c r="A51" s="910" t="s">
        <v>573</v>
      </c>
      <c r="B51" s="910" t="s">
        <v>533</v>
      </c>
      <c r="C51" s="1024">
        <v>2.5</v>
      </c>
      <c r="D51" s="1024">
        <v>2.5</v>
      </c>
      <c r="E51" s="1024">
        <v>2.5</v>
      </c>
      <c r="F51" s="1024">
        <v>2.5</v>
      </c>
      <c r="G51" s="911"/>
      <c r="H51" t="s">
        <v>710</v>
      </c>
      <c r="I51" t="s">
        <v>707</v>
      </c>
      <c r="J51" s="1033" t="s">
        <v>791</v>
      </c>
      <c r="L51" s="922" t="s">
        <v>164</v>
      </c>
      <c r="M51" s="926"/>
      <c r="N51" s="926"/>
      <c r="O51" s="926"/>
      <c r="P51" s="926"/>
    </row>
    <row r="52" spans="1:16">
      <c r="A52" s="910" t="s">
        <v>574</v>
      </c>
      <c r="B52" s="910" t="s">
        <v>533</v>
      </c>
      <c r="C52" s="1024">
        <v>3.12</v>
      </c>
      <c r="D52" s="1024">
        <v>3.12</v>
      </c>
      <c r="E52" s="1024">
        <v>3.12</v>
      </c>
      <c r="F52" s="1024">
        <v>3.12</v>
      </c>
      <c r="G52" s="911"/>
      <c r="H52" t="s">
        <v>710</v>
      </c>
      <c r="I52" t="s">
        <v>707</v>
      </c>
      <c r="J52" s="1033" t="s">
        <v>791</v>
      </c>
      <c r="L52" s="922" t="s">
        <v>166</v>
      </c>
      <c r="M52" s="926">
        <v>197.3</v>
      </c>
      <c r="N52" s="926">
        <v>202.7</v>
      </c>
      <c r="O52" s="926">
        <v>208.1</v>
      </c>
      <c r="P52" s="926">
        <v>211.8</v>
      </c>
    </row>
    <row r="53" spans="1:16">
      <c r="A53" s="910" t="s">
        <v>575</v>
      </c>
      <c r="B53" s="910" t="s">
        <v>533</v>
      </c>
      <c r="C53" s="1024">
        <v>10</v>
      </c>
      <c r="D53" s="1024">
        <v>10</v>
      </c>
      <c r="E53" s="1024">
        <v>10</v>
      </c>
      <c r="F53" s="1024">
        <v>10</v>
      </c>
      <c r="G53" s="911"/>
      <c r="H53" t="s">
        <v>705</v>
      </c>
      <c r="I53" t="s">
        <v>707</v>
      </c>
      <c r="J53" s="1033" t="s">
        <v>786</v>
      </c>
      <c r="L53" s="922" t="s">
        <v>392</v>
      </c>
      <c r="M53" s="926">
        <v>262.39999999999998</v>
      </c>
      <c r="N53" s="926">
        <v>269.39999999999998</v>
      </c>
      <c r="O53" s="926">
        <v>276.3</v>
      </c>
      <c r="P53" s="926">
        <v>280.89999999999998</v>
      </c>
    </row>
    <row r="54" spans="1:16">
      <c r="A54" s="910" t="s">
        <v>576</v>
      </c>
      <c r="B54" s="910" t="s">
        <v>533</v>
      </c>
      <c r="C54" s="1024">
        <v>10</v>
      </c>
      <c r="D54" s="1024">
        <v>10</v>
      </c>
      <c r="E54" s="1024">
        <v>10</v>
      </c>
      <c r="F54" s="1024">
        <v>10</v>
      </c>
      <c r="G54" s="911"/>
      <c r="H54" t="s">
        <v>705</v>
      </c>
      <c r="I54" t="s">
        <v>707</v>
      </c>
      <c r="J54" s="1033" t="s">
        <v>790</v>
      </c>
      <c r="L54" s="922" t="s">
        <v>393</v>
      </c>
      <c r="M54" s="926">
        <v>58.7</v>
      </c>
      <c r="N54" s="926">
        <v>43.1</v>
      </c>
      <c r="O54" s="926">
        <v>43.8</v>
      </c>
      <c r="P54" s="926">
        <v>44.5</v>
      </c>
    </row>
    <row r="55" spans="1:16">
      <c r="A55" s="910" t="s">
        <v>577</v>
      </c>
      <c r="B55" s="910" t="s">
        <v>533</v>
      </c>
      <c r="C55" s="1024">
        <v>51.65</v>
      </c>
      <c r="D55" s="1024">
        <v>51.65</v>
      </c>
      <c r="E55" s="1024">
        <v>51.65</v>
      </c>
      <c r="F55" s="1024">
        <v>51.65</v>
      </c>
      <c r="G55" s="911"/>
      <c r="H55" t="s">
        <v>710</v>
      </c>
      <c r="I55" t="s">
        <v>726</v>
      </c>
      <c r="J55" s="1033" t="s">
        <v>792</v>
      </c>
      <c r="L55" s="922" t="s">
        <v>494</v>
      </c>
      <c r="M55" s="926"/>
      <c r="N55" s="926"/>
      <c r="O55" s="926"/>
      <c r="P55" s="926"/>
    </row>
    <row r="56" spans="1:16">
      <c r="A56" s="910" t="s">
        <v>578</v>
      </c>
      <c r="B56" s="910" t="s">
        <v>533</v>
      </c>
      <c r="C56" s="1024">
        <v>32.6</v>
      </c>
      <c r="D56" s="1024">
        <v>32.6</v>
      </c>
      <c r="E56" s="1024">
        <v>32.6</v>
      </c>
      <c r="F56" s="1024">
        <v>32.6</v>
      </c>
      <c r="G56" s="911"/>
      <c r="H56" t="s">
        <v>710</v>
      </c>
      <c r="I56" t="s">
        <v>733</v>
      </c>
      <c r="L56" s="922" t="s">
        <v>170</v>
      </c>
      <c r="M56" s="926">
        <v>22.22</v>
      </c>
      <c r="N56" s="926">
        <v>22.44</v>
      </c>
      <c r="O56" s="926">
        <v>22.67</v>
      </c>
      <c r="P56" s="926">
        <v>22.59</v>
      </c>
    </row>
    <row r="57" spans="1:16">
      <c r="A57" s="910" t="s">
        <v>579</v>
      </c>
      <c r="B57" s="910" t="s">
        <v>533</v>
      </c>
      <c r="C57" s="1024">
        <v>5.12</v>
      </c>
      <c r="D57" s="1024">
        <v>5.12</v>
      </c>
      <c r="E57" s="1024">
        <v>5.12</v>
      </c>
      <c r="F57" s="1024">
        <v>5.12</v>
      </c>
      <c r="G57" s="911"/>
      <c r="H57" t="s">
        <v>710</v>
      </c>
      <c r="I57" t="s">
        <v>717</v>
      </c>
      <c r="J57" s="1033" t="s">
        <v>793</v>
      </c>
      <c r="L57" s="922" t="s">
        <v>394</v>
      </c>
      <c r="M57" s="926">
        <v>0.19</v>
      </c>
      <c r="N57" s="926">
        <v>0.19</v>
      </c>
      <c r="O57" s="926">
        <v>0.19</v>
      </c>
      <c r="P57" s="926">
        <v>0.19</v>
      </c>
    </row>
    <row r="58" spans="1:16">
      <c r="A58" s="910" t="s">
        <v>580</v>
      </c>
      <c r="B58" s="910" t="s">
        <v>533</v>
      </c>
      <c r="C58" s="1024">
        <v>5.86</v>
      </c>
      <c r="D58" s="1024">
        <v>5.86</v>
      </c>
      <c r="E58" s="1024">
        <v>5.86</v>
      </c>
      <c r="F58" s="1024">
        <v>5.86</v>
      </c>
      <c r="G58" s="911"/>
      <c r="H58" t="s">
        <v>710</v>
      </c>
      <c r="I58" t="s">
        <v>707</v>
      </c>
      <c r="L58" s="922" t="s">
        <v>397</v>
      </c>
      <c r="M58" s="926"/>
      <c r="N58" s="926"/>
      <c r="O58" s="926"/>
      <c r="P58" s="926"/>
    </row>
    <row r="59" spans="1:16">
      <c r="A59" s="910" t="s">
        <v>581</v>
      </c>
      <c r="B59" s="910" t="s">
        <v>533</v>
      </c>
      <c r="C59" s="1024">
        <v>73.180000000000007</v>
      </c>
      <c r="D59" s="1024">
        <v>73.180000000000007</v>
      </c>
      <c r="E59" s="1024">
        <v>73.180000000000007</v>
      </c>
      <c r="F59" s="1024">
        <v>73.180000000000007</v>
      </c>
      <c r="G59" s="911"/>
      <c r="H59" t="s">
        <v>710</v>
      </c>
      <c r="I59" t="s">
        <v>726</v>
      </c>
      <c r="J59" s="1033" t="s">
        <v>794</v>
      </c>
      <c r="L59" s="922" t="s">
        <v>155</v>
      </c>
      <c r="M59" s="926">
        <v>2.7900000000000005</v>
      </c>
      <c r="N59" s="926">
        <v>2.7900000000000005</v>
      </c>
      <c r="O59" s="926">
        <v>2.7900000000000005</v>
      </c>
      <c r="P59" s="926">
        <v>2.7900000000000005</v>
      </c>
    </row>
    <row r="60" spans="1:16">
      <c r="A60" s="910" t="s">
        <v>582</v>
      </c>
      <c r="B60" s="910" t="s">
        <v>533</v>
      </c>
      <c r="C60" s="1024">
        <v>6.3</v>
      </c>
      <c r="D60" s="1024">
        <v>6.3</v>
      </c>
      <c r="E60" s="1024">
        <v>6.3</v>
      </c>
      <c r="F60" s="1024">
        <v>6.3</v>
      </c>
      <c r="G60" s="911"/>
      <c r="H60" t="s">
        <v>710</v>
      </c>
      <c r="I60" t="s">
        <v>727</v>
      </c>
      <c r="J60" s="1033" t="s">
        <v>795</v>
      </c>
      <c r="L60" s="922" t="s">
        <v>146</v>
      </c>
      <c r="M60" s="926"/>
      <c r="N60" s="926"/>
      <c r="O60" s="926"/>
      <c r="P60" s="926"/>
    </row>
    <row r="61" spans="1:16" ht="13">
      <c r="A61" s="910" t="s">
        <v>583</v>
      </c>
      <c r="B61" s="910" t="s">
        <v>533</v>
      </c>
      <c r="C61" s="1024">
        <v>8.89</v>
      </c>
      <c r="D61" s="1024">
        <v>8.89</v>
      </c>
      <c r="E61" s="1024">
        <v>8.89</v>
      </c>
      <c r="F61" s="1024">
        <v>8.89</v>
      </c>
      <c r="G61" s="911"/>
      <c r="H61" t="s">
        <v>705</v>
      </c>
      <c r="I61" t="s">
        <v>717</v>
      </c>
      <c r="J61" s="1033" t="s">
        <v>796</v>
      </c>
      <c r="L61" s="929" t="s">
        <v>23</v>
      </c>
      <c r="M61" s="927">
        <f>SUM(M62:M63)</f>
        <v>1.5</v>
      </c>
      <c r="N61" s="927">
        <f t="shared" ref="N61:P61" si="6">SUM(N62:N63)</f>
        <v>1.6</v>
      </c>
      <c r="O61" s="927">
        <f t="shared" si="6"/>
        <v>1.7</v>
      </c>
      <c r="P61" s="927">
        <f t="shared" si="6"/>
        <v>1.9</v>
      </c>
    </row>
    <row r="62" spans="1:16">
      <c r="A62" s="910" t="s">
        <v>584</v>
      </c>
      <c r="B62" s="910" t="s">
        <v>539</v>
      </c>
      <c r="C62" s="1024">
        <v>9</v>
      </c>
      <c r="D62" s="1024">
        <v>9</v>
      </c>
      <c r="E62" s="1024">
        <v>9</v>
      </c>
      <c r="F62" s="1024">
        <v>9</v>
      </c>
      <c r="G62" s="911"/>
      <c r="H62" t="s">
        <v>710</v>
      </c>
      <c r="I62" t="s">
        <v>717</v>
      </c>
      <c r="J62" s="1033" t="s">
        <v>759</v>
      </c>
      <c r="L62" s="922" t="s">
        <v>164</v>
      </c>
      <c r="M62" s="926"/>
      <c r="N62" s="926"/>
      <c r="O62" s="926"/>
      <c r="P62" s="926"/>
    </row>
    <row r="63" spans="1:16">
      <c r="A63" s="910" t="s">
        <v>585</v>
      </c>
      <c r="B63" s="910" t="s">
        <v>533</v>
      </c>
      <c r="C63" s="1024">
        <v>19.8</v>
      </c>
      <c r="D63" s="1024">
        <v>19.8</v>
      </c>
      <c r="E63" s="1024">
        <v>19.8</v>
      </c>
      <c r="F63" s="1024">
        <v>19.8</v>
      </c>
      <c r="G63" s="911"/>
      <c r="H63" t="s">
        <v>705</v>
      </c>
      <c r="I63" t="s">
        <v>724</v>
      </c>
      <c r="J63" s="1033" t="s">
        <v>797</v>
      </c>
      <c r="L63" s="922" t="s">
        <v>401</v>
      </c>
      <c r="M63" s="926">
        <v>1.5</v>
      </c>
      <c r="N63" s="926">
        <v>1.6</v>
      </c>
      <c r="O63" s="926">
        <v>1.7</v>
      </c>
      <c r="P63" s="926">
        <v>1.9</v>
      </c>
    </row>
    <row r="64" spans="1:16">
      <c r="A64" s="910" t="s">
        <v>586</v>
      </c>
      <c r="B64" s="910" t="s">
        <v>539</v>
      </c>
      <c r="C64" s="1024">
        <v>2.56</v>
      </c>
      <c r="D64" s="1024">
        <v>2.56</v>
      </c>
      <c r="E64" s="1024">
        <v>2.56</v>
      </c>
      <c r="F64" s="1024">
        <v>2.56</v>
      </c>
      <c r="G64" s="911"/>
      <c r="H64" t="s">
        <v>710</v>
      </c>
      <c r="I64" t="s">
        <v>707</v>
      </c>
      <c r="L64" s="922" t="s">
        <v>146</v>
      </c>
      <c r="M64" s="926"/>
      <c r="N64" s="926"/>
      <c r="O64" s="926"/>
      <c r="P64" s="926"/>
    </row>
    <row r="65" spans="1:16" ht="13">
      <c r="A65" s="910" t="s">
        <v>587</v>
      </c>
      <c r="B65" s="910" t="s">
        <v>533</v>
      </c>
      <c r="C65" s="1024">
        <v>7.62</v>
      </c>
      <c r="D65" s="1024">
        <v>7.62</v>
      </c>
      <c r="E65" s="1024">
        <v>7.62</v>
      </c>
      <c r="F65" s="1024">
        <v>7.62</v>
      </c>
      <c r="G65" s="911"/>
      <c r="H65" t="s">
        <v>705</v>
      </c>
      <c r="I65" t="s">
        <v>707</v>
      </c>
      <c r="J65" s="1033" t="s">
        <v>798</v>
      </c>
      <c r="L65" s="929" t="s">
        <v>24</v>
      </c>
      <c r="M65" s="927">
        <f>SUM(M66:M70)</f>
        <v>146.54999999999998</v>
      </c>
      <c r="N65" s="927">
        <f t="shared" ref="N65:P65" si="7">SUM(N66:N70)</f>
        <v>150.14999999999998</v>
      </c>
      <c r="O65" s="927">
        <f t="shared" si="7"/>
        <v>153.85</v>
      </c>
      <c r="P65" s="927">
        <f t="shared" si="7"/>
        <v>158.94999999999999</v>
      </c>
    </row>
    <row r="66" spans="1:16">
      <c r="A66" s="910" t="s">
        <v>588</v>
      </c>
      <c r="B66" s="910" t="s">
        <v>539</v>
      </c>
      <c r="C66" s="1024">
        <v>10</v>
      </c>
      <c r="D66" s="1024">
        <v>10</v>
      </c>
      <c r="E66" s="1024">
        <v>10</v>
      </c>
      <c r="F66" s="1024">
        <v>10</v>
      </c>
      <c r="G66" s="911"/>
      <c r="H66" t="s">
        <v>705</v>
      </c>
      <c r="I66" t="s">
        <v>717</v>
      </c>
      <c r="J66" s="1033" t="s">
        <v>799</v>
      </c>
      <c r="L66" s="922" t="s">
        <v>164</v>
      </c>
      <c r="M66" s="926"/>
      <c r="N66" s="926"/>
      <c r="O66" s="926"/>
      <c r="P66" s="926"/>
    </row>
    <row r="67" spans="1:16">
      <c r="A67" s="910" t="s">
        <v>589</v>
      </c>
      <c r="B67" s="910" t="s">
        <v>539</v>
      </c>
      <c r="C67" s="1024">
        <v>10</v>
      </c>
      <c r="D67" s="1024">
        <v>10</v>
      </c>
      <c r="E67" s="1024">
        <v>10</v>
      </c>
      <c r="F67" s="1024">
        <v>10</v>
      </c>
      <c r="G67" s="911"/>
      <c r="H67" t="s">
        <v>710</v>
      </c>
      <c r="I67" t="s">
        <v>717</v>
      </c>
      <c r="J67" s="1033" t="s">
        <v>799</v>
      </c>
      <c r="L67" s="922" t="s">
        <v>26</v>
      </c>
      <c r="M67" s="926">
        <v>138.6</v>
      </c>
      <c r="N67" s="926">
        <v>142.19999999999999</v>
      </c>
      <c r="O67" s="901">
        <v>145.9</v>
      </c>
      <c r="P67" s="926">
        <v>151</v>
      </c>
    </row>
    <row r="68" spans="1:16">
      <c r="A68" s="910" t="s">
        <v>590</v>
      </c>
      <c r="B68" s="910" t="s">
        <v>539</v>
      </c>
      <c r="C68" s="1024">
        <v>10</v>
      </c>
      <c r="D68" s="1024">
        <v>10</v>
      </c>
      <c r="E68" s="1024">
        <v>10</v>
      </c>
      <c r="F68" s="1024">
        <v>10</v>
      </c>
      <c r="G68" s="911"/>
      <c r="H68" t="s">
        <v>705</v>
      </c>
      <c r="I68" t="s">
        <v>717</v>
      </c>
      <c r="J68" s="1033" t="s">
        <v>799</v>
      </c>
      <c r="L68" s="922" t="s">
        <v>154</v>
      </c>
      <c r="M68" s="926"/>
      <c r="N68" s="926"/>
      <c r="O68" s="926"/>
      <c r="P68" s="926"/>
    </row>
    <row r="69" spans="1:16">
      <c r="A69" s="910" t="s">
        <v>591</v>
      </c>
      <c r="B69" s="910" t="s">
        <v>539</v>
      </c>
      <c r="C69" s="1024">
        <v>10</v>
      </c>
      <c r="D69" s="1024">
        <v>10</v>
      </c>
      <c r="E69" s="1024">
        <v>10</v>
      </c>
      <c r="F69" s="1024">
        <v>10</v>
      </c>
      <c r="G69" s="911"/>
      <c r="H69" t="s">
        <v>710</v>
      </c>
      <c r="I69" t="s">
        <v>717</v>
      </c>
      <c r="J69" s="1033" t="s">
        <v>799</v>
      </c>
      <c r="L69" s="922" t="s">
        <v>407</v>
      </c>
      <c r="M69" s="926">
        <v>7.25</v>
      </c>
      <c r="N69" s="926">
        <v>7.25</v>
      </c>
      <c r="O69" s="926">
        <v>7.25</v>
      </c>
      <c r="P69" s="926">
        <v>7.25</v>
      </c>
    </row>
    <row r="70" spans="1:16">
      <c r="A70" s="910" t="s">
        <v>592</v>
      </c>
      <c r="B70" s="910" t="s">
        <v>539</v>
      </c>
      <c r="C70" s="1024">
        <v>9.9600000000000009</v>
      </c>
      <c r="D70" s="1024">
        <v>9.9600000000000009</v>
      </c>
      <c r="E70" s="1024">
        <v>9.9600000000000009</v>
      </c>
      <c r="F70" s="1024">
        <v>9.9600000000000009</v>
      </c>
      <c r="G70" s="911"/>
      <c r="H70" t="s">
        <v>705</v>
      </c>
      <c r="I70" t="s">
        <v>707</v>
      </c>
      <c r="J70" s="1033" t="s">
        <v>777</v>
      </c>
      <c r="L70" s="922" t="s">
        <v>155</v>
      </c>
      <c r="M70" s="926">
        <v>0.7</v>
      </c>
      <c r="N70" s="926">
        <v>0.7</v>
      </c>
      <c r="O70" s="926">
        <v>0.7</v>
      </c>
      <c r="P70" s="926">
        <v>0.7</v>
      </c>
    </row>
    <row r="71" spans="1:16">
      <c r="A71" s="910" t="s">
        <v>593</v>
      </c>
      <c r="B71" s="910" t="s">
        <v>539</v>
      </c>
      <c r="C71" s="1024">
        <v>9.9600000000000009</v>
      </c>
      <c r="D71" s="1024">
        <v>9.9600000000000009</v>
      </c>
      <c r="E71" s="1024">
        <v>9.9600000000000009</v>
      </c>
      <c r="F71" s="1024">
        <v>9.9600000000000009</v>
      </c>
      <c r="G71" s="911"/>
      <c r="H71" t="s">
        <v>710</v>
      </c>
      <c r="I71" t="s">
        <v>707</v>
      </c>
      <c r="J71" s="1033" t="s">
        <v>800</v>
      </c>
      <c r="L71" s="922" t="s">
        <v>410</v>
      </c>
      <c r="M71" s="926"/>
      <c r="N71" s="926"/>
      <c r="O71" s="926"/>
      <c r="P71" s="926"/>
    </row>
    <row r="72" spans="1:16">
      <c r="A72" s="910" t="s">
        <v>801</v>
      </c>
      <c r="B72" s="910" t="s">
        <v>539</v>
      </c>
      <c r="C72" s="1024">
        <v>4.75</v>
      </c>
      <c r="D72" s="1024">
        <v>4.75</v>
      </c>
      <c r="E72" s="1024">
        <v>4.75</v>
      </c>
      <c r="F72" s="1024">
        <v>4.75</v>
      </c>
      <c r="G72" s="911"/>
      <c r="H72" t="s">
        <v>710</v>
      </c>
      <c r="I72" t="s">
        <v>707</v>
      </c>
      <c r="J72" s="1033" t="s">
        <v>802</v>
      </c>
      <c r="L72" s="922" t="s">
        <v>146</v>
      </c>
      <c r="M72" s="926"/>
      <c r="N72" s="926"/>
      <c r="O72" s="926"/>
      <c r="P72" s="926"/>
    </row>
    <row r="73" spans="1:16" ht="13">
      <c r="A73" s="910" t="s">
        <v>594</v>
      </c>
      <c r="B73" s="910" t="s">
        <v>803</v>
      </c>
      <c r="C73" s="913">
        <v>1.49478</v>
      </c>
      <c r="D73" s="913">
        <v>1.49478</v>
      </c>
      <c r="E73" s="913">
        <v>1.49478</v>
      </c>
      <c r="F73" s="913">
        <v>1.49478</v>
      </c>
      <c r="G73" s="912"/>
      <c r="H73" t="s">
        <v>705</v>
      </c>
      <c r="I73" t="s">
        <v>707</v>
      </c>
      <c r="J73" s="1033" t="s">
        <v>763</v>
      </c>
      <c r="L73" s="929" t="s">
        <v>25</v>
      </c>
      <c r="M73" s="927">
        <f>SUM(M74:M76)</f>
        <v>53.870000000000005</v>
      </c>
      <c r="N73" s="927">
        <f t="shared" ref="N73:P73" si="8">SUM(N74:N76)</f>
        <v>55.33</v>
      </c>
      <c r="O73" s="927">
        <f t="shared" si="8"/>
        <v>56.870000000000005</v>
      </c>
      <c r="P73" s="927">
        <f t="shared" si="8"/>
        <v>58.54</v>
      </c>
    </row>
    <row r="74" spans="1:16">
      <c r="A74" s="910" t="s">
        <v>804</v>
      </c>
      <c r="B74" s="910" t="s">
        <v>805</v>
      </c>
      <c r="C74" s="915">
        <v>8.1199999999999992</v>
      </c>
      <c r="D74" s="915">
        <v>8.1199999999999992</v>
      </c>
      <c r="E74" s="915">
        <v>8.1199999999999992</v>
      </c>
      <c r="F74" s="915">
        <v>8.1199999999999992</v>
      </c>
      <c r="G74" s="917"/>
      <c r="L74" s="922" t="s">
        <v>87</v>
      </c>
      <c r="M74" s="926"/>
      <c r="N74" s="926"/>
      <c r="O74" s="926"/>
      <c r="P74" s="926"/>
    </row>
    <row r="75" spans="1:16">
      <c r="A75" s="910" t="s">
        <v>596</v>
      </c>
      <c r="B75" s="910" t="s">
        <v>539</v>
      </c>
      <c r="C75" s="915"/>
      <c r="D75" s="915">
        <v>105</v>
      </c>
      <c r="E75" s="915">
        <v>105</v>
      </c>
      <c r="F75" s="915">
        <v>105</v>
      </c>
      <c r="G75" s="916">
        <v>46357</v>
      </c>
      <c r="H75" t="s">
        <v>705</v>
      </c>
      <c r="I75" t="s">
        <v>724</v>
      </c>
      <c r="J75" s="1033" t="s">
        <v>806</v>
      </c>
      <c r="L75" s="922" t="s">
        <v>189</v>
      </c>
      <c r="M75" s="926">
        <v>27.01</v>
      </c>
      <c r="N75" s="926">
        <v>28.43</v>
      </c>
      <c r="O75" s="926">
        <v>29.93</v>
      </c>
      <c r="P75" s="926">
        <v>31.56</v>
      </c>
    </row>
    <row r="76" spans="1:16">
      <c r="A76" s="910" t="s">
        <v>597</v>
      </c>
      <c r="B76" s="910" t="s">
        <v>539</v>
      </c>
      <c r="C76" s="913">
        <v>9.9600000000000009</v>
      </c>
      <c r="D76" s="913">
        <v>9.9600000000000009</v>
      </c>
      <c r="E76" s="913">
        <v>9.9600000000000009</v>
      </c>
      <c r="F76" s="913">
        <v>9.9600000000000009</v>
      </c>
      <c r="G76" s="1025"/>
      <c r="H76" t="s">
        <v>705</v>
      </c>
      <c r="I76" t="s">
        <v>707</v>
      </c>
      <c r="J76" s="1033" t="s">
        <v>763</v>
      </c>
      <c r="L76" s="922" t="s">
        <v>416</v>
      </c>
      <c r="M76" s="926">
        <v>26.86</v>
      </c>
      <c r="N76" s="926">
        <v>26.9</v>
      </c>
      <c r="O76" s="926">
        <v>26.94</v>
      </c>
      <c r="P76" s="926">
        <v>26.98</v>
      </c>
    </row>
    <row r="77" spans="1:16">
      <c r="A77" s="910" t="s">
        <v>598</v>
      </c>
      <c r="B77" s="910" t="s">
        <v>533</v>
      </c>
      <c r="C77" s="915">
        <v>28.84</v>
      </c>
      <c r="D77" s="915">
        <v>28.84</v>
      </c>
      <c r="E77" s="915">
        <v>28.84</v>
      </c>
      <c r="F77" s="915">
        <v>28.84</v>
      </c>
      <c r="G77" s="917"/>
      <c r="H77" t="s">
        <v>705</v>
      </c>
      <c r="I77" t="s">
        <v>726</v>
      </c>
      <c r="J77" s="1033" t="s">
        <v>807</v>
      </c>
      <c r="L77" s="922" t="s">
        <v>146</v>
      </c>
      <c r="M77" s="926"/>
      <c r="N77" s="926"/>
      <c r="O77" s="926"/>
      <c r="P77" s="926"/>
    </row>
    <row r="78" spans="1:16" ht="13">
      <c r="A78" s="910" t="s">
        <v>599</v>
      </c>
      <c r="B78" s="910" t="s">
        <v>539</v>
      </c>
      <c r="C78" s="1024">
        <v>0.99</v>
      </c>
      <c r="D78" s="1024">
        <v>0.99</v>
      </c>
      <c r="E78" s="1024">
        <v>0.99</v>
      </c>
      <c r="F78" s="1024">
        <v>0.99</v>
      </c>
      <c r="G78" s="911"/>
      <c r="H78" t="s">
        <v>710</v>
      </c>
      <c r="I78" t="s">
        <v>717</v>
      </c>
      <c r="J78" s="1033" t="s">
        <v>808</v>
      </c>
      <c r="L78" s="929" t="s">
        <v>516</v>
      </c>
      <c r="M78" s="927">
        <f>M7+M14+M18+M23+M33+M41+M61+M65+M73</f>
        <v>1900.13</v>
      </c>
      <c r="N78" s="927">
        <f>N7+N14+N18+N23+N33+N41+N61+N65+N73</f>
        <v>1921.96</v>
      </c>
      <c r="O78" s="927">
        <f>O7+O14+O18+O23+O33+O41+O61+O65+O73</f>
        <v>1960.81</v>
      </c>
      <c r="P78" s="927">
        <f>P7+P14+P18+P23+P33+P41+P61+P65+P73</f>
        <v>1997.56</v>
      </c>
    </row>
    <row r="79" spans="1:16">
      <c r="A79" s="910" t="s">
        <v>600</v>
      </c>
      <c r="B79" s="910" t="s">
        <v>539</v>
      </c>
      <c r="C79" s="1024">
        <v>9.9</v>
      </c>
      <c r="D79" s="1024">
        <v>9.9</v>
      </c>
      <c r="E79" s="1024">
        <v>9.9</v>
      </c>
      <c r="F79" s="1024">
        <v>9.9</v>
      </c>
      <c r="G79" s="919">
        <v>46023</v>
      </c>
      <c r="H79" t="s">
        <v>705</v>
      </c>
      <c r="I79" t="s">
        <v>724</v>
      </c>
      <c r="J79" s="1033" t="s">
        <v>763</v>
      </c>
      <c r="L79" s="922"/>
      <c r="M79" s="923"/>
      <c r="N79" s="923"/>
      <c r="O79" s="923"/>
      <c r="P79" s="923"/>
    </row>
    <row r="80" spans="1:16">
      <c r="A80" s="910" t="s">
        <v>601</v>
      </c>
      <c r="B80" s="910" t="s">
        <v>539</v>
      </c>
      <c r="C80" s="915">
        <v>9.8000000000000007</v>
      </c>
      <c r="D80" s="915">
        <v>9.8000000000000007</v>
      </c>
      <c r="E80" s="915">
        <v>9.8000000000000007</v>
      </c>
      <c r="F80" s="915">
        <v>9.8000000000000007</v>
      </c>
      <c r="G80" s="916">
        <v>46054</v>
      </c>
      <c r="H80" t="s">
        <v>705</v>
      </c>
      <c r="I80" t="s">
        <v>707</v>
      </c>
      <c r="J80" s="1033" t="s">
        <v>809</v>
      </c>
    </row>
    <row r="81" spans="1:10">
      <c r="A81" s="910" t="s">
        <v>602</v>
      </c>
      <c r="B81" s="910" t="s">
        <v>539</v>
      </c>
      <c r="C81" s="915">
        <v>9.8000000000000007</v>
      </c>
      <c r="D81" s="915">
        <v>9.8000000000000007</v>
      </c>
      <c r="E81" s="915">
        <v>9.8000000000000007</v>
      </c>
      <c r="F81" s="915">
        <v>9.8000000000000007</v>
      </c>
      <c r="G81" s="916">
        <v>46054</v>
      </c>
      <c r="H81" t="s">
        <v>710</v>
      </c>
      <c r="I81" t="s">
        <v>707</v>
      </c>
      <c r="J81" s="1033" t="s">
        <v>810</v>
      </c>
    </row>
    <row r="82" spans="1:10">
      <c r="A82" s="910" t="s">
        <v>603</v>
      </c>
      <c r="B82" s="910" t="s">
        <v>539</v>
      </c>
      <c r="C82" s="915">
        <v>9.8000000000000007</v>
      </c>
      <c r="D82" s="915">
        <v>9.8000000000000007</v>
      </c>
      <c r="E82" s="915">
        <v>9.8000000000000007</v>
      </c>
      <c r="F82" s="915">
        <v>9.8000000000000007</v>
      </c>
      <c r="G82" s="916">
        <v>46054</v>
      </c>
      <c r="H82" t="s">
        <v>710</v>
      </c>
      <c r="I82" t="s">
        <v>707</v>
      </c>
      <c r="J82" s="1033" t="s">
        <v>810</v>
      </c>
    </row>
    <row r="83" spans="1:10">
      <c r="A83" s="910" t="s">
        <v>604</v>
      </c>
      <c r="B83" s="910" t="s">
        <v>539</v>
      </c>
      <c r="C83" s="915">
        <v>9.9</v>
      </c>
      <c r="D83" s="915">
        <v>9.9</v>
      </c>
      <c r="E83" s="915">
        <v>9.9</v>
      </c>
      <c r="F83" s="915">
        <v>9.9</v>
      </c>
      <c r="G83" s="916">
        <v>46143</v>
      </c>
      <c r="H83" t="s">
        <v>705</v>
      </c>
      <c r="I83" t="s">
        <v>724</v>
      </c>
      <c r="J83" s="1033" t="s">
        <v>763</v>
      </c>
    </row>
    <row r="84" spans="1:10">
      <c r="A84" s="910" t="s">
        <v>605</v>
      </c>
      <c r="B84" s="910" t="s">
        <v>539</v>
      </c>
      <c r="C84" s="915">
        <v>9.9</v>
      </c>
      <c r="D84" s="915">
        <v>9.9</v>
      </c>
      <c r="E84" s="915">
        <v>9.9</v>
      </c>
      <c r="F84" s="915">
        <v>9.9</v>
      </c>
      <c r="G84" s="916">
        <v>46143</v>
      </c>
      <c r="H84" t="s">
        <v>705</v>
      </c>
      <c r="I84" t="s">
        <v>724</v>
      </c>
      <c r="J84" s="1033" t="s">
        <v>763</v>
      </c>
    </row>
    <row r="85" spans="1:10">
      <c r="A85" s="910" t="s">
        <v>606</v>
      </c>
      <c r="B85" s="910" t="s">
        <v>539</v>
      </c>
      <c r="C85" s="915">
        <v>9.9</v>
      </c>
      <c r="D85" s="915">
        <v>9.9</v>
      </c>
      <c r="E85" s="915">
        <v>9.9</v>
      </c>
      <c r="F85" s="915">
        <v>9.9</v>
      </c>
      <c r="G85" s="916">
        <v>46023</v>
      </c>
      <c r="H85" t="s">
        <v>710</v>
      </c>
      <c r="I85" t="s">
        <v>724</v>
      </c>
      <c r="J85" s="1033" t="s">
        <v>811</v>
      </c>
    </row>
    <row r="86" spans="1:10">
      <c r="A86" s="910" t="s">
        <v>607</v>
      </c>
      <c r="B86" s="910" t="s">
        <v>539</v>
      </c>
      <c r="C86" s="915">
        <v>9.9</v>
      </c>
      <c r="D86" s="915">
        <v>9.9</v>
      </c>
      <c r="E86" s="915">
        <v>9.9</v>
      </c>
      <c r="F86" s="915">
        <v>9.9</v>
      </c>
      <c r="G86" s="916">
        <v>46174</v>
      </c>
      <c r="H86" t="s">
        <v>705</v>
      </c>
      <c r="I86" t="s">
        <v>724</v>
      </c>
    </row>
    <row r="87" spans="1:10">
      <c r="A87" s="910" t="s">
        <v>608</v>
      </c>
      <c r="B87" s="910" t="s">
        <v>539</v>
      </c>
      <c r="C87" s="915">
        <v>9.9</v>
      </c>
      <c r="D87" s="915">
        <v>9.9</v>
      </c>
      <c r="E87" s="915">
        <v>9.9</v>
      </c>
      <c r="F87" s="915">
        <v>9.9</v>
      </c>
      <c r="G87" s="916">
        <v>46174</v>
      </c>
      <c r="H87" t="s">
        <v>705</v>
      </c>
      <c r="I87" t="s">
        <v>724</v>
      </c>
    </row>
    <row r="88" spans="1:10">
      <c r="A88" s="910" t="s">
        <v>609</v>
      </c>
      <c r="B88" s="910" t="s">
        <v>539</v>
      </c>
      <c r="C88" s="915"/>
      <c r="D88" s="915">
        <v>40</v>
      </c>
      <c r="E88" s="915">
        <v>70</v>
      </c>
      <c r="F88" s="915">
        <v>70</v>
      </c>
      <c r="G88" s="916">
        <v>46327</v>
      </c>
      <c r="H88" t="s">
        <v>705</v>
      </c>
      <c r="I88" t="s">
        <v>724</v>
      </c>
      <c r="J88" s="1033" t="s">
        <v>812</v>
      </c>
    </row>
    <row r="89" spans="1:10">
      <c r="A89" s="910" t="s">
        <v>610</v>
      </c>
      <c r="B89" s="910" t="s">
        <v>539</v>
      </c>
      <c r="C89" s="915"/>
      <c r="D89" s="915">
        <v>9.9</v>
      </c>
      <c r="E89" s="915">
        <v>9.9</v>
      </c>
      <c r="F89" s="915">
        <v>9.9</v>
      </c>
      <c r="G89" s="916">
        <v>46388</v>
      </c>
      <c r="H89" t="s">
        <v>705</v>
      </c>
      <c r="I89" t="s">
        <v>724</v>
      </c>
      <c r="J89" s="1033" t="s">
        <v>813</v>
      </c>
    </row>
    <row r="90" spans="1:10">
      <c r="A90" s="910" t="s">
        <v>611</v>
      </c>
      <c r="B90" s="910" t="s">
        <v>539</v>
      </c>
      <c r="C90" s="915"/>
      <c r="D90" s="915">
        <v>9.9</v>
      </c>
      <c r="E90" s="915">
        <v>9.9</v>
      </c>
      <c r="F90" s="915">
        <v>9.9</v>
      </c>
      <c r="G90" s="916">
        <v>46388</v>
      </c>
      <c r="H90" t="s">
        <v>710</v>
      </c>
      <c r="I90" t="s">
        <v>724</v>
      </c>
      <c r="J90" s="1033" t="s">
        <v>814</v>
      </c>
    </row>
    <row r="91" spans="1:10">
      <c r="A91" s="910" t="s">
        <v>612</v>
      </c>
      <c r="B91" s="910" t="s">
        <v>539</v>
      </c>
      <c r="C91" s="915">
        <v>9.9</v>
      </c>
      <c r="D91" s="915">
        <v>9.9</v>
      </c>
      <c r="E91" s="915">
        <v>9.9</v>
      </c>
      <c r="F91" s="915">
        <v>9.9</v>
      </c>
      <c r="G91" s="916">
        <v>46143</v>
      </c>
      <c r="H91" t="s">
        <v>710</v>
      </c>
      <c r="I91" t="s">
        <v>724</v>
      </c>
      <c r="J91" s="1033" t="s">
        <v>815</v>
      </c>
    </row>
    <row r="92" spans="1:10">
      <c r="A92" s="910" t="s">
        <v>613</v>
      </c>
      <c r="B92" s="910" t="s">
        <v>539</v>
      </c>
      <c r="C92" s="915">
        <v>9.9</v>
      </c>
      <c r="D92" s="915">
        <v>9.9</v>
      </c>
      <c r="E92" s="915">
        <v>9.9</v>
      </c>
      <c r="F92" s="915">
        <v>9.9</v>
      </c>
      <c r="G92" s="916">
        <v>46143</v>
      </c>
      <c r="H92" t="s">
        <v>710</v>
      </c>
      <c r="I92" t="s">
        <v>724</v>
      </c>
      <c r="J92" s="1033" t="s">
        <v>814</v>
      </c>
    </row>
    <row r="93" spans="1:10">
      <c r="A93" s="910" t="s">
        <v>614</v>
      </c>
      <c r="B93" s="910" t="s">
        <v>533</v>
      </c>
      <c r="C93" s="915"/>
      <c r="D93" s="915"/>
      <c r="E93" s="915"/>
      <c r="F93" s="915">
        <v>63</v>
      </c>
      <c r="G93" s="916">
        <v>47178</v>
      </c>
      <c r="H93" t="s">
        <v>710</v>
      </c>
      <c r="I93" t="s">
        <v>733</v>
      </c>
    </row>
    <row r="94" spans="1:10">
      <c r="A94" s="910" t="s">
        <v>653</v>
      </c>
      <c r="B94" s="910" t="s">
        <v>539</v>
      </c>
      <c r="C94" s="915">
        <v>9.99</v>
      </c>
      <c r="D94" s="915">
        <v>9.99</v>
      </c>
      <c r="E94" s="915">
        <v>9.99</v>
      </c>
      <c r="F94" s="915">
        <v>9.99</v>
      </c>
      <c r="G94" s="917"/>
      <c r="H94" t="s">
        <v>705</v>
      </c>
      <c r="I94" t="s">
        <v>724</v>
      </c>
      <c r="J94" s="1033" t="s">
        <v>816</v>
      </c>
    </row>
    <row r="95" spans="1:10">
      <c r="A95" s="910" t="s">
        <v>654</v>
      </c>
      <c r="B95" s="910" t="s">
        <v>539</v>
      </c>
      <c r="C95" s="915">
        <v>9.99</v>
      </c>
      <c r="D95" s="915">
        <v>9.99</v>
      </c>
      <c r="E95" s="915">
        <v>9.99</v>
      </c>
      <c r="F95" s="915">
        <v>9.99</v>
      </c>
      <c r="G95" s="917"/>
      <c r="H95" t="s">
        <v>705</v>
      </c>
      <c r="I95" t="s">
        <v>724</v>
      </c>
      <c r="J95" s="1033" t="s">
        <v>817</v>
      </c>
    </row>
    <row r="96" spans="1:10">
      <c r="A96" s="910" t="s">
        <v>655</v>
      </c>
      <c r="B96" s="910" t="s">
        <v>539</v>
      </c>
      <c r="C96" s="915">
        <v>9.99</v>
      </c>
      <c r="D96" s="915">
        <v>9.99</v>
      </c>
      <c r="E96" s="915">
        <v>9.99</v>
      </c>
      <c r="F96" s="915">
        <v>9.99</v>
      </c>
      <c r="G96" s="917"/>
      <c r="H96" t="s">
        <v>705</v>
      </c>
      <c r="I96" t="s">
        <v>724</v>
      </c>
      <c r="J96" s="1033" t="s">
        <v>818</v>
      </c>
    </row>
    <row r="97" spans="1:10">
      <c r="A97" s="910" t="s">
        <v>656</v>
      </c>
      <c r="B97" s="910" t="s">
        <v>539</v>
      </c>
      <c r="C97" s="915">
        <v>9.99</v>
      </c>
      <c r="D97" s="915">
        <v>9.99</v>
      </c>
      <c r="E97" s="915">
        <v>9.99</v>
      </c>
      <c r="F97" s="915">
        <v>9.99</v>
      </c>
      <c r="G97" s="912"/>
      <c r="H97" t="s">
        <v>705</v>
      </c>
      <c r="I97" t="s">
        <v>724</v>
      </c>
      <c r="J97" s="1033" t="s">
        <v>819</v>
      </c>
    </row>
    <row r="98" spans="1:10">
      <c r="A98" s="910" t="s">
        <v>657</v>
      </c>
      <c r="B98" s="910" t="s">
        <v>539</v>
      </c>
      <c r="C98" s="915">
        <v>9.99</v>
      </c>
      <c r="D98" s="915">
        <v>9.99</v>
      </c>
      <c r="E98" s="915">
        <v>9.99</v>
      </c>
      <c r="F98" s="915">
        <v>9.99</v>
      </c>
      <c r="G98" s="912"/>
      <c r="H98" t="s">
        <v>705</v>
      </c>
      <c r="I98" t="s">
        <v>724</v>
      </c>
      <c r="J98" s="1033" t="s">
        <v>820</v>
      </c>
    </row>
    <row r="99" spans="1:10">
      <c r="A99" s="910" t="s">
        <v>658</v>
      </c>
      <c r="B99" s="910" t="s">
        <v>539</v>
      </c>
      <c r="C99" s="915">
        <v>9.99</v>
      </c>
      <c r="D99" s="915">
        <v>9.99</v>
      </c>
      <c r="E99" s="915">
        <v>9.99</v>
      </c>
      <c r="F99" s="915">
        <v>9.99</v>
      </c>
      <c r="G99" s="912"/>
      <c r="H99" t="s">
        <v>705</v>
      </c>
      <c r="I99" t="s">
        <v>724</v>
      </c>
      <c r="J99" s="1033" t="s">
        <v>821</v>
      </c>
    </row>
    <row r="100" spans="1:10">
      <c r="A100" s="910" t="s">
        <v>659</v>
      </c>
      <c r="B100" s="910" t="s">
        <v>539</v>
      </c>
      <c r="C100" s="915">
        <v>9.99</v>
      </c>
      <c r="D100" s="915">
        <v>9.99</v>
      </c>
      <c r="E100" s="915">
        <v>9.99</v>
      </c>
      <c r="F100" s="915">
        <v>9.99</v>
      </c>
      <c r="G100" s="912"/>
      <c r="H100" t="s">
        <v>705</v>
      </c>
      <c r="I100" t="s">
        <v>724</v>
      </c>
      <c r="J100" s="1033" t="s">
        <v>822</v>
      </c>
    </row>
    <row r="101" spans="1:10" ht="14">
      <c r="A101" s="908" t="s">
        <v>615</v>
      </c>
      <c r="B101" s="908"/>
      <c r="C101" s="1034">
        <f>SUM(C102:C148)</f>
        <v>764.53666989999999</v>
      </c>
      <c r="D101" s="1034">
        <f t="shared" ref="D101:F101" si="9">SUM(D102:D148)</f>
        <v>817.04666989999987</v>
      </c>
      <c r="E101" s="1034">
        <f t="shared" si="9"/>
        <v>817.04666989999987</v>
      </c>
      <c r="F101" s="1034">
        <f t="shared" si="9"/>
        <v>817.04666989999987</v>
      </c>
      <c r="G101" s="908"/>
    </row>
    <row r="102" spans="1:10">
      <c r="A102" s="910" t="s">
        <v>616</v>
      </c>
      <c r="B102" s="910" t="s">
        <v>533</v>
      </c>
      <c r="C102" s="1024">
        <v>6.66</v>
      </c>
      <c r="D102" s="1024">
        <v>6.66</v>
      </c>
      <c r="E102" s="1024">
        <v>6.66</v>
      </c>
      <c r="F102" s="1024">
        <v>6.66</v>
      </c>
      <c r="G102" s="911"/>
      <c r="H102" t="s">
        <v>710</v>
      </c>
      <c r="I102" t="s">
        <v>721</v>
      </c>
      <c r="J102" s="1033" t="s">
        <v>823</v>
      </c>
    </row>
    <row r="103" spans="1:10">
      <c r="A103" s="910" t="s">
        <v>617</v>
      </c>
      <c r="B103" s="910" t="s">
        <v>533</v>
      </c>
      <c r="C103" s="1024">
        <v>7</v>
      </c>
      <c r="D103" s="1024">
        <v>7</v>
      </c>
      <c r="E103" s="1024">
        <v>7</v>
      </c>
      <c r="F103" s="1024">
        <v>7</v>
      </c>
      <c r="G103" s="911"/>
      <c r="H103" t="s">
        <v>710</v>
      </c>
      <c r="I103" t="s">
        <v>728</v>
      </c>
      <c r="J103" s="1033" t="s">
        <v>765</v>
      </c>
    </row>
    <row r="104" spans="1:10">
      <c r="A104" s="910" t="s">
        <v>618</v>
      </c>
      <c r="B104" s="910" t="s">
        <v>539</v>
      </c>
      <c r="C104" s="1024">
        <v>9.93</v>
      </c>
      <c r="D104" s="1024">
        <v>9.93</v>
      </c>
      <c r="E104" s="1024">
        <v>9.93</v>
      </c>
      <c r="F104" s="1024">
        <v>9.93</v>
      </c>
      <c r="G104" s="911"/>
      <c r="H104" t="s">
        <v>710</v>
      </c>
      <c r="I104" t="s">
        <v>728</v>
      </c>
      <c r="J104" s="1033" t="s">
        <v>824</v>
      </c>
    </row>
    <row r="105" spans="1:10">
      <c r="A105" s="910" t="s">
        <v>619</v>
      </c>
      <c r="B105" s="910" t="s">
        <v>539</v>
      </c>
      <c r="C105" s="1024">
        <v>9.99</v>
      </c>
      <c r="D105" s="1024">
        <v>9.99</v>
      </c>
      <c r="E105" s="1024">
        <v>9.99</v>
      </c>
      <c r="F105" s="1024">
        <v>9.99</v>
      </c>
      <c r="G105" s="911"/>
      <c r="H105" t="s">
        <v>710</v>
      </c>
      <c r="I105" t="s">
        <v>728</v>
      </c>
      <c r="J105" s="1033" t="s">
        <v>824</v>
      </c>
    </row>
    <row r="106" spans="1:10">
      <c r="A106" s="1026" t="s">
        <v>825</v>
      </c>
      <c r="B106" s="910" t="s">
        <v>539</v>
      </c>
      <c r="C106" s="915"/>
      <c r="D106" s="915">
        <v>0.48</v>
      </c>
      <c r="E106" s="915">
        <v>0.48</v>
      </c>
      <c r="F106" s="915">
        <v>0.48</v>
      </c>
      <c r="G106" s="1025">
        <v>46478</v>
      </c>
      <c r="H106" t="s">
        <v>710</v>
      </c>
    </row>
    <row r="107" spans="1:10">
      <c r="A107" s="1026" t="s">
        <v>826</v>
      </c>
      <c r="B107" s="910" t="s">
        <v>539</v>
      </c>
      <c r="C107" s="1024">
        <v>0.5</v>
      </c>
      <c r="D107" s="1024">
        <v>0.5</v>
      </c>
      <c r="E107" s="1024">
        <v>0.5</v>
      </c>
      <c r="F107" s="1024">
        <v>0.5</v>
      </c>
      <c r="G107" s="911"/>
      <c r="H107" t="s">
        <v>710</v>
      </c>
      <c r="I107" t="s">
        <v>728</v>
      </c>
      <c r="J107" s="1033" t="s">
        <v>827</v>
      </c>
    </row>
    <row r="108" spans="1:10">
      <c r="A108" s="910" t="s">
        <v>620</v>
      </c>
      <c r="B108" s="910" t="s">
        <v>539</v>
      </c>
      <c r="C108" s="1024">
        <v>8.5</v>
      </c>
      <c r="D108" s="1024">
        <v>8.5</v>
      </c>
      <c r="E108" s="1024">
        <v>8.5</v>
      </c>
      <c r="F108" s="1024">
        <v>8.5</v>
      </c>
      <c r="G108" s="911"/>
      <c r="H108" t="s">
        <v>710</v>
      </c>
      <c r="I108" t="s">
        <v>728</v>
      </c>
      <c r="J108" s="1033" t="s">
        <v>828</v>
      </c>
    </row>
    <row r="109" spans="1:10">
      <c r="A109" s="910" t="s">
        <v>621</v>
      </c>
      <c r="B109" s="910" t="s">
        <v>539</v>
      </c>
      <c r="C109" s="1024">
        <v>9.52</v>
      </c>
      <c r="D109" s="1024">
        <v>9.52</v>
      </c>
      <c r="E109" s="1024">
        <v>9.52</v>
      </c>
      <c r="F109" s="1024">
        <v>9.52</v>
      </c>
      <c r="G109" s="911"/>
      <c r="H109" t="s">
        <v>710</v>
      </c>
      <c r="I109" t="s">
        <v>728</v>
      </c>
      <c r="J109" s="1033" t="s">
        <v>829</v>
      </c>
    </row>
    <row r="110" spans="1:10">
      <c r="A110" s="910" t="s">
        <v>622</v>
      </c>
      <c r="B110" s="910" t="s">
        <v>539</v>
      </c>
      <c r="C110" s="1024">
        <v>10</v>
      </c>
      <c r="D110" s="1024">
        <v>10</v>
      </c>
      <c r="E110" s="1024">
        <v>10</v>
      </c>
      <c r="F110" s="1024">
        <v>10</v>
      </c>
      <c r="G110" s="911"/>
      <c r="H110" t="s">
        <v>705</v>
      </c>
      <c r="I110" t="s">
        <v>728</v>
      </c>
      <c r="J110" s="1033" t="s">
        <v>763</v>
      </c>
    </row>
    <row r="111" spans="1:10">
      <c r="A111" s="910" t="s">
        <v>623</v>
      </c>
      <c r="B111" s="910" t="s">
        <v>539</v>
      </c>
      <c r="C111" s="1024">
        <v>8.5</v>
      </c>
      <c r="D111" s="1024">
        <v>8.5</v>
      </c>
      <c r="E111" s="1024">
        <v>8.5</v>
      </c>
      <c r="F111" s="1024">
        <v>8.5</v>
      </c>
      <c r="G111" s="911"/>
      <c r="H111" t="s">
        <v>710</v>
      </c>
      <c r="I111" t="s">
        <v>728</v>
      </c>
      <c r="J111" s="1033" t="s">
        <v>830</v>
      </c>
    </row>
    <row r="112" spans="1:10">
      <c r="A112" s="910" t="s">
        <v>624</v>
      </c>
      <c r="B112" s="910" t="s">
        <v>539</v>
      </c>
      <c r="C112" s="1024">
        <v>10</v>
      </c>
      <c r="D112" s="1024">
        <v>10</v>
      </c>
      <c r="E112" s="1024">
        <v>10</v>
      </c>
      <c r="F112" s="1024">
        <v>10</v>
      </c>
      <c r="G112" s="911"/>
      <c r="H112" t="s">
        <v>705</v>
      </c>
      <c r="I112" t="s">
        <v>728</v>
      </c>
      <c r="J112" s="1033" t="s">
        <v>763</v>
      </c>
    </row>
    <row r="113" spans="1:10">
      <c r="A113" s="910" t="s">
        <v>625</v>
      </c>
      <c r="B113" s="910" t="s">
        <v>539</v>
      </c>
      <c r="C113" s="1024">
        <v>10</v>
      </c>
      <c r="D113" s="1024">
        <v>10</v>
      </c>
      <c r="E113" s="1024">
        <v>10</v>
      </c>
      <c r="F113" s="1024">
        <v>10</v>
      </c>
      <c r="G113" s="911"/>
      <c r="H113" t="s">
        <v>705</v>
      </c>
      <c r="I113" t="s">
        <v>728</v>
      </c>
      <c r="J113" s="1033" t="s">
        <v>763</v>
      </c>
    </row>
    <row r="114" spans="1:10">
      <c r="A114" s="910" t="s">
        <v>626</v>
      </c>
      <c r="B114" s="910" t="s">
        <v>627</v>
      </c>
      <c r="C114" s="1024">
        <v>17.5</v>
      </c>
      <c r="D114" s="1024">
        <v>17.5</v>
      </c>
      <c r="E114" s="1024">
        <v>17.5</v>
      </c>
      <c r="F114" s="1024">
        <v>17.5</v>
      </c>
      <c r="G114" s="911"/>
      <c r="H114" t="s">
        <v>705</v>
      </c>
      <c r="I114" t="s">
        <v>713</v>
      </c>
      <c r="J114" s="1033" t="s">
        <v>831</v>
      </c>
    </row>
    <row r="115" spans="1:10">
      <c r="A115" s="910" t="s">
        <v>628</v>
      </c>
      <c r="B115" s="910" t="s">
        <v>627</v>
      </c>
      <c r="C115" s="1024">
        <v>52.5</v>
      </c>
      <c r="D115" s="1024">
        <v>52.5</v>
      </c>
      <c r="E115" s="1024">
        <v>52.5</v>
      </c>
      <c r="F115" s="1024">
        <v>52.5</v>
      </c>
      <c r="G115" s="911"/>
      <c r="H115" t="s">
        <v>705</v>
      </c>
      <c r="I115" t="s">
        <v>713</v>
      </c>
      <c r="J115" s="1033" t="s">
        <v>831</v>
      </c>
    </row>
    <row r="116" spans="1:10">
      <c r="A116" s="910" t="s">
        <v>629</v>
      </c>
      <c r="B116" s="910" t="s">
        <v>627</v>
      </c>
      <c r="C116" s="1024">
        <v>55</v>
      </c>
      <c r="D116" s="1024">
        <v>55</v>
      </c>
      <c r="E116" s="1024">
        <v>55</v>
      </c>
      <c r="F116" s="1024">
        <v>55</v>
      </c>
      <c r="G116" s="918"/>
      <c r="H116" t="s">
        <v>705</v>
      </c>
      <c r="I116" t="s">
        <v>719</v>
      </c>
      <c r="J116" s="1033" t="s">
        <v>832</v>
      </c>
    </row>
    <row r="117" spans="1:10">
      <c r="A117" s="910" t="s">
        <v>630</v>
      </c>
      <c r="B117" s="910" t="s">
        <v>627</v>
      </c>
      <c r="C117" s="1024">
        <v>62.5</v>
      </c>
      <c r="D117" s="1024">
        <v>62.5</v>
      </c>
      <c r="E117" s="1024">
        <v>62.5</v>
      </c>
      <c r="F117" s="1024">
        <v>62.5</v>
      </c>
      <c r="G117" s="911"/>
      <c r="H117" t="s">
        <v>710</v>
      </c>
      <c r="I117" t="s">
        <v>728</v>
      </c>
      <c r="J117" s="1033" t="s">
        <v>833</v>
      </c>
    </row>
    <row r="118" spans="1:10">
      <c r="A118" s="910" t="s">
        <v>631</v>
      </c>
      <c r="B118" s="910" t="s">
        <v>627</v>
      </c>
      <c r="C118" s="1024">
        <v>32.5</v>
      </c>
      <c r="D118" s="1024">
        <v>32.5</v>
      </c>
      <c r="E118" s="1024">
        <v>32.5</v>
      </c>
      <c r="F118" s="1024">
        <v>32.5</v>
      </c>
      <c r="G118" s="911"/>
      <c r="H118" t="s">
        <v>705</v>
      </c>
      <c r="I118" t="s">
        <v>713</v>
      </c>
    </row>
    <row r="119" spans="1:10">
      <c r="A119" s="910" t="s">
        <v>632</v>
      </c>
      <c r="B119" s="910" t="s">
        <v>627</v>
      </c>
      <c r="C119" s="1024">
        <v>50</v>
      </c>
      <c r="D119" s="1024">
        <v>50</v>
      </c>
      <c r="E119" s="1024">
        <v>50</v>
      </c>
      <c r="F119" s="1024">
        <v>50</v>
      </c>
      <c r="G119" s="911"/>
      <c r="H119" t="s">
        <v>705</v>
      </c>
      <c r="I119" t="s">
        <v>713</v>
      </c>
    </row>
    <row r="120" spans="1:10">
      <c r="A120" s="910" t="s">
        <v>634</v>
      </c>
      <c r="B120" s="910" t="s">
        <v>539</v>
      </c>
      <c r="C120" s="1024">
        <v>16</v>
      </c>
      <c r="D120" s="1024">
        <v>16</v>
      </c>
      <c r="E120" s="1024">
        <v>16</v>
      </c>
      <c r="F120" s="1024">
        <v>16</v>
      </c>
      <c r="G120" s="911"/>
      <c r="H120" t="s">
        <v>710</v>
      </c>
      <c r="I120" t="s">
        <v>728</v>
      </c>
      <c r="J120" s="1033" t="s">
        <v>721</v>
      </c>
    </row>
    <row r="121" spans="1:10">
      <c r="A121" s="910" t="s">
        <v>635</v>
      </c>
      <c r="B121" s="910" t="s">
        <v>539</v>
      </c>
      <c r="C121" s="1024">
        <v>5.66</v>
      </c>
      <c r="D121" s="1024">
        <v>5.66</v>
      </c>
      <c r="E121" s="1024">
        <v>5.66</v>
      </c>
      <c r="F121" s="1024">
        <v>5.66</v>
      </c>
      <c r="G121" s="911"/>
      <c r="H121" t="s">
        <v>710</v>
      </c>
      <c r="I121" t="s">
        <v>728</v>
      </c>
      <c r="J121" s="1033" t="s">
        <v>834</v>
      </c>
    </row>
    <row r="122" spans="1:10">
      <c r="A122" s="910" t="s">
        <v>636</v>
      </c>
      <c r="B122" s="910" t="s">
        <v>539</v>
      </c>
      <c r="C122" s="1024">
        <v>9.9</v>
      </c>
      <c r="D122" s="1024">
        <v>9.9</v>
      </c>
      <c r="E122" s="1024">
        <v>9.9</v>
      </c>
      <c r="F122" s="1024">
        <v>9.9</v>
      </c>
      <c r="G122" s="911"/>
      <c r="H122" t="s">
        <v>705</v>
      </c>
      <c r="I122" t="s">
        <v>728</v>
      </c>
      <c r="J122" s="1033" t="s">
        <v>728</v>
      </c>
    </row>
    <row r="123" spans="1:10">
      <c r="A123" s="910" t="s">
        <v>637</v>
      </c>
      <c r="B123" s="910" t="s">
        <v>539</v>
      </c>
      <c r="C123" s="1024">
        <v>5</v>
      </c>
      <c r="D123" s="1024">
        <v>5</v>
      </c>
      <c r="E123" s="1024">
        <v>5</v>
      </c>
      <c r="F123" s="1024">
        <v>5</v>
      </c>
      <c r="G123" s="911"/>
      <c r="H123" t="s">
        <v>710</v>
      </c>
      <c r="I123" t="s">
        <v>728</v>
      </c>
      <c r="J123" s="1033" t="s">
        <v>835</v>
      </c>
    </row>
    <row r="124" spans="1:10">
      <c r="A124" s="910" t="s">
        <v>638</v>
      </c>
      <c r="B124" s="910" t="s">
        <v>539</v>
      </c>
      <c r="C124" s="1024">
        <v>120</v>
      </c>
      <c r="D124" s="1024">
        <v>120</v>
      </c>
      <c r="E124" s="1024">
        <v>120</v>
      </c>
      <c r="F124" s="1024">
        <v>120</v>
      </c>
      <c r="G124" s="911"/>
      <c r="H124" t="s">
        <v>710</v>
      </c>
      <c r="I124" t="s">
        <v>728</v>
      </c>
      <c r="J124" s="1033" t="s">
        <v>836</v>
      </c>
    </row>
    <row r="125" spans="1:10">
      <c r="A125" s="910" t="s">
        <v>639</v>
      </c>
      <c r="B125" s="910" t="s">
        <v>539</v>
      </c>
      <c r="C125" s="1024">
        <v>9.9700000000000006</v>
      </c>
      <c r="D125" s="1024">
        <v>9.9700000000000006</v>
      </c>
      <c r="E125" s="1024">
        <v>9.9700000000000006</v>
      </c>
      <c r="F125" s="1024">
        <v>9.9700000000000006</v>
      </c>
      <c r="G125" s="911"/>
      <c r="H125" t="s">
        <v>710</v>
      </c>
      <c r="I125" t="s">
        <v>728</v>
      </c>
      <c r="J125" s="1033" t="s">
        <v>837</v>
      </c>
    </row>
    <row r="126" spans="1:10">
      <c r="A126" s="910" t="s">
        <v>640</v>
      </c>
      <c r="B126" s="910" t="s">
        <v>539</v>
      </c>
      <c r="C126" s="1024">
        <v>9.9700000000000006</v>
      </c>
      <c r="D126" s="1024">
        <v>9.9700000000000006</v>
      </c>
      <c r="E126" s="1024">
        <v>9.9700000000000006</v>
      </c>
      <c r="F126" s="1024">
        <v>9.9700000000000006</v>
      </c>
      <c r="G126" s="911"/>
      <c r="H126" t="s">
        <v>710</v>
      </c>
      <c r="I126" t="s">
        <v>728</v>
      </c>
      <c r="J126" s="1033" t="s">
        <v>838</v>
      </c>
    </row>
    <row r="127" spans="1:10">
      <c r="A127" s="910" t="s">
        <v>839</v>
      </c>
      <c r="B127" s="910" t="s">
        <v>539</v>
      </c>
      <c r="C127" s="1024">
        <v>9.8800000000000008</v>
      </c>
      <c r="D127" s="1024">
        <v>9.8800000000000008</v>
      </c>
      <c r="E127" s="1024">
        <v>9.8800000000000008</v>
      </c>
      <c r="F127" s="1024">
        <v>9.8800000000000008</v>
      </c>
      <c r="G127" s="911"/>
      <c r="H127" t="s">
        <v>710</v>
      </c>
      <c r="I127" t="s">
        <v>728</v>
      </c>
      <c r="J127" s="1033" t="s">
        <v>840</v>
      </c>
    </row>
    <row r="128" spans="1:10">
      <c r="A128" s="910" t="s">
        <v>841</v>
      </c>
      <c r="B128" s="910" t="s">
        <v>539</v>
      </c>
      <c r="C128" s="1024">
        <v>5.61</v>
      </c>
      <c r="D128" s="1024">
        <v>5.61</v>
      </c>
      <c r="E128" s="1024">
        <v>5.61</v>
      </c>
      <c r="F128" s="1024">
        <v>5.61</v>
      </c>
      <c r="G128" s="911"/>
      <c r="H128" t="s">
        <v>710</v>
      </c>
      <c r="I128" t="s">
        <v>728</v>
      </c>
      <c r="J128" s="1033" t="s">
        <v>842</v>
      </c>
    </row>
    <row r="129" spans="1:10">
      <c r="A129" s="910" t="s">
        <v>843</v>
      </c>
      <c r="B129" s="910" t="s">
        <v>539</v>
      </c>
      <c r="C129" s="1024">
        <v>5.8</v>
      </c>
      <c r="D129" s="1024">
        <v>5.8</v>
      </c>
      <c r="E129" s="1024">
        <v>5.8</v>
      </c>
      <c r="F129" s="1024">
        <v>5.8</v>
      </c>
      <c r="G129" s="911"/>
      <c r="H129" t="s">
        <v>710</v>
      </c>
      <c r="I129" t="s">
        <v>728</v>
      </c>
      <c r="J129" s="1033" t="s">
        <v>844</v>
      </c>
    </row>
    <row r="130" spans="1:10">
      <c r="A130" s="910" t="s">
        <v>845</v>
      </c>
      <c r="B130" s="910" t="s">
        <v>539</v>
      </c>
      <c r="C130" s="1024">
        <v>6.02</v>
      </c>
      <c r="D130" s="1024">
        <v>6.02</v>
      </c>
      <c r="E130" s="1024">
        <v>6.02</v>
      </c>
      <c r="F130" s="1024">
        <v>6.02</v>
      </c>
      <c r="G130" s="911"/>
      <c r="H130" t="s">
        <v>710</v>
      </c>
      <c r="I130" t="s">
        <v>728</v>
      </c>
      <c r="J130" s="1033" t="s">
        <v>844</v>
      </c>
    </row>
    <row r="131" spans="1:10">
      <c r="A131" s="910" t="s">
        <v>641</v>
      </c>
      <c r="B131" s="910" t="s">
        <v>539</v>
      </c>
      <c r="C131" s="1024">
        <v>11.7</v>
      </c>
      <c r="D131" s="1024">
        <v>11.7</v>
      </c>
      <c r="E131" s="1024">
        <v>11.7</v>
      </c>
      <c r="F131" s="1024">
        <v>11.7</v>
      </c>
      <c r="G131" s="911"/>
      <c r="H131" t="s">
        <v>710</v>
      </c>
      <c r="I131" t="s">
        <v>728</v>
      </c>
      <c r="J131" s="1033" t="s">
        <v>846</v>
      </c>
    </row>
    <row r="132" spans="1:10">
      <c r="A132" s="910" t="s">
        <v>642</v>
      </c>
      <c r="B132" s="910" t="s">
        <v>539</v>
      </c>
      <c r="C132" s="915">
        <v>7.56</v>
      </c>
      <c r="D132" s="915">
        <v>7.56</v>
      </c>
      <c r="E132" s="915">
        <v>7.56</v>
      </c>
      <c r="F132" s="915">
        <v>7.56</v>
      </c>
      <c r="G132" s="912"/>
      <c r="H132" t="s">
        <v>710</v>
      </c>
      <c r="I132" t="s">
        <v>728</v>
      </c>
      <c r="J132" s="1033" t="s">
        <v>847</v>
      </c>
    </row>
    <row r="133" spans="1:10">
      <c r="A133" s="910" t="s">
        <v>644</v>
      </c>
      <c r="B133" s="910" t="s">
        <v>539</v>
      </c>
      <c r="C133" s="915">
        <v>9.99</v>
      </c>
      <c r="D133" s="915">
        <v>9.99</v>
      </c>
      <c r="E133" s="915">
        <v>9.99</v>
      </c>
      <c r="F133" s="915">
        <v>9.99</v>
      </c>
      <c r="G133" s="1025"/>
      <c r="H133" t="s">
        <v>710</v>
      </c>
      <c r="J133" s="1033" t="s">
        <v>848</v>
      </c>
    </row>
    <row r="134" spans="1:10">
      <c r="A134" s="910" t="s">
        <v>645</v>
      </c>
      <c r="B134" s="910" t="s">
        <v>539</v>
      </c>
      <c r="C134" s="915">
        <v>9.9</v>
      </c>
      <c r="D134" s="915">
        <v>9.9</v>
      </c>
      <c r="E134" s="915">
        <v>9.9</v>
      </c>
      <c r="F134" s="915">
        <v>9.9</v>
      </c>
      <c r="G134" s="916">
        <v>46143</v>
      </c>
      <c r="H134" t="s">
        <v>710</v>
      </c>
      <c r="I134" t="s">
        <v>731</v>
      </c>
    </row>
    <row r="135" spans="1:10">
      <c r="A135" s="910" t="s">
        <v>646</v>
      </c>
      <c r="B135" s="910" t="s">
        <v>539</v>
      </c>
      <c r="C135" s="915">
        <v>12.5</v>
      </c>
      <c r="D135" s="915">
        <v>12.5</v>
      </c>
      <c r="E135" s="915">
        <v>12.5</v>
      </c>
      <c r="F135" s="915">
        <v>12.5</v>
      </c>
      <c r="G135" s="917"/>
      <c r="H135" t="s">
        <v>710</v>
      </c>
      <c r="I135" t="s">
        <v>732</v>
      </c>
      <c r="J135" s="1033" t="s">
        <v>849</v>
      </c>
    </row>
    <row r="136" spans="1:10">
      <c r="A136" s="910" t="s">
        <v>648</v>
      </c>
      <c r="B136" s="910" t="s">
        <v>539</v>
      </c>
      <c r="C136" s="915">
        <v>7.5</v>
      </c>
      <c r="D136" s="915">
        <v>7.5</v>
      </c>
      <c r="E136" s="915">
        <v>7.5</v>
      </c>
      <c r="F136" s="915">
        <v>7.5</v>
      </c>
      <c r="G136" s="916"/>
      <c r="H136" t="s">
        <v>710</v>
      </c>
      <c r="I136" t="s">
        <v>714</v>
      </c>
      <c r="J136" s="1033" t="s">
        <v>850</v>
      </c>
    </row>
    <row r="137" spans="1:10">
      <c r="A137" s="910" t="s">
        <v>649</v>
      </c>
      <c r="B137" s="910" t="s">
        <v>539</v>
      </c>
      <c r="C137" s="915">
        <v>9.99</v>
      </c>
      <c r="D137" s="915">
        <v>9.99</v>
      </c>
      <c r="E137" s="915">
        <v>9.99</v>
      </c>
      <c r="F137" s="915">
        <v>9.99</v>
      </c>
      <c r="G137" s="916"/>
      <c r="H137" t="s">
        <v>710</v>
      </c>
      <c r="I137" t="s">
        <v>728</v>
      </c>
      <c r="J137" s="1033" t="s">
        <v>851</v>
      </c>
    </row>
    <row r="138" spans="1:10">
      <c r="A138" s="910" t="s">
        <v>650</v>
      </c>
      <c r="B138" s="910" t="s">
        <v>539</v>
      </c>
      <c r="C138" s="915">
        <v>9.9</v>
      </c>
      <c r="D138" s="915">
        <v>9.9</v>
      </c>
      <c r="E138" s="915">
        <v>9.9</v>
      </c>
      <c r="F138" s="915">
        <v>9.9</v>
      </c>
      <c r="G138" s="916"/>
      <c r="H138" t="s">
        <v>710</v>
      </c>
      <c r="I138" t="s">
        <v>712</v>
      </c>
      <c r="J138" s="1033" t="s">
        <v>851</v>
      </c>
    </row>
    <row r="139" spans="1:10">
      <c r="A139" s="910" t="s">
        <v>651</v>
      </c>
      <c r="B139" s="910" t="s">
        <v>539</v>
      </c>
      <c r="C139" s="915"/>
      <c r="D139" s="915">
        <v>4.5999999999999996</v>
      </c>
      <c r="E139" s="915">
        <v>4.5999999999999996</v>
      </c>
      <c r="F139" s="915">
        <v>4.5999999999999996</v>
      </c>
      <c r="G139" s="916">
        <v>46388</v>
      </c>
      <c r="H139" t="s">
        <v>710</v>
      </c>
      <c r="I139" t="s">
        <v>712</v>
      </c>
      <c r="J139" s="1033" t="s">
        <v>852</v>
      </c>
    </row>
    <row r="140" spans="1:10">
      <c r="A140" s="910" t="s">
        <v>652</v>
      </c>
      <c r="B140" s="910" t="s">
        <v>539</v>
      </c>
      <c r="C140" s="915">
        <v>12</v>
      </c>
      <c r="D140" s="915">
        <v>12</v>
      </c>
      <c r="E140" s="915">
        <v>12</v>
      </c>
      <c r="F140" s="915">
        <v>12</v>
      </c>
      <c r="G140" s="917"/>
      <c r="H140" t="s">
        <v>710</v>
      </c>
      <c r="I140" t="s">
        <v>717</v>
      </c>
      <c r="J140" s="1033" t="s">
        <v>853</v>
      </c>
    </row>
    <row r="141" spans="1:10">
      <c r="A141" s="910" t="s">
        <v>854</v>
      </c>
      <c r="B141" s="910" t="s">
        <v>803</v>
      </c>
      <c r="C141" s="1024">
        <v>0.58666989999999997</v>
      </c>
      <c r="D141" s="1024">
        <v>0.58666989999999997</v>
      </c>
      <c r="E141" s="1024">
        <v>0.58666989999999997</v>
      </c>
      <c r="F141" s="1024">
        <v>0.58666989999999997</v>
      </c>
      <c r="G141" s="917"/>
      <c r="H141" t="s">
        <v>710</v>
      </c>
      <c r="I141" t="s">
        <v>728</v>
      </c>
      <c r="J141" s="1033" t="s">
        <v>824</v>
      </c>
    </row>
    <row r="142" spans="1:10">
      <c r="A142" s="910" t="s">
        <v>660</v>
      </c>
      <c r="B142" s="910" t="s">
        <v>539</v>
      </c>
      <c r="C142" s="913">
        <v>8.5</v>
      </c>
      <c r="D142" s="913">
        <v>8.5</v>
      </c>
      <c r="E142" s="913">
        <v>8.5</v>
      </c>
      <c r="F142" s="913">
        <v>8.5</v>
      </c>
      <c r="G142" s="914"/>
      <c r="H142" t="s">
        <v>710</v>
      </c>
      <c r="I142" t="s">
        <v>728</v>
      </c>
      <c r="J142" s="1033" t="s">
        <v>855</v>
      </c>
    </row>
    <row r="143" spans="1:10">
      <c r="A143" s="910" t="s">
        <v>661</v>
      </c>
      <c r="B143" s="910" t="s">
        <v>539</v>
      </c>
      <c r="C143" s="913"/>
      <c r="D143" s="913">
        <v>7.74</v>
      </c>
      <c r="E143" s="913">
        <v>7.74</v>
      </c>
      <c r="F143" s="913">
        <v>7.74</v>
      </c>
      <c r="G143" s="919">
        <v>46357</v>
      </c>
      <c r="H143" t="s">
        <v>710</v>
      </c>
      <c r="I143" t="s">
        <v>728</v>
      </c>
    </row>
    <row r="144" spans="1:10">
      <c r="A144" s="910" t="s">
        <v>662</v>
      </c>
      <c r="B144" s="910" t="s">
        <v>539</v>
      </c>
      <c r="C144" s="913"/>
      <c r="D144" s="913">
        <v>9.9</v>
      </c>
      <c r="E144" s="913">
        <v>9.9</v>
      </c>
      <c r="F144" s="913">
        <v>9.9</v>
      </c>
      <c r="G144" s="919">
        <v>46235</v>
      </c>
      <c r="H144" t="s">
        <v>705</v>
      </c>
      <c r="I144" t="s">
        <v>728</v>
      </c>
    </row>
    <row r="145" spans="1:10">
      <c r="A145" s="910" t="s">
        <v>663</v>
      </c>
      <c r="B145" s="910" t="s">
        <v>539</v>
      </c>
      <c r="C145" s="913"/>
      <c r="D145" s="913">
        <v>9.9</v>
      </c>
      <c r="E145" s="913">
        <v>9.9</v>
      </c>
      <c r="F145" s="913">
        <v>9.9</v>
      </c>
      <c r="G145" s="919">
        <v>46235</v>
      </c>
      <c r="H145" t="s">
        <v>710</v>
      </c>
      <c r="I145" t="s">
        <v>728</v>
      </c>
    </row>
    <row r="146" spans="1:10">
      <c r="A146" s="910" t="s">
        <v>664</v>
      </c>
      <c r="B146" s="910" t="s">
        <v>539</v>
      </c>
      <c r="C146" s="915"/>
      <c r="D146" s="915">
        <v>9.9</v>
      </c>
      <c r="E146" s="915">
        <v>9.9</v>
      </c>
      <c r="F146" s="915">
        <v>9.9</v>
      </c>
      <c r="G146" s="916">
        <v>46235</v>
      </c>
      <c r="H146" t="s">
        <v>710</v>
      </c>
      <c r="I146" t="s">
        <v>728</v>
      </c>
    </row>
    <row r="147" spans="1:10">
      <c r="A147" s="910" t="s">
        <v>665</v>
      </c>
      <c r="B147" s="910" t="s">
        <v>539</v>
      </c>
      <c r="C147" s="915"/>
      <c r="D147" s="915">
        <v>9.99</v>
      </c>
      <c r="E147" s="915">
        <v>9.99</v>
      </c>
      <c r="F147" s="915">
        <v>9.99</v>
      </c>
      <c r="G147" s="916">
        <v>46357</v>
      </c>
      <c r="H147" t="s">
        <v>705</v>
      </c>
      <c r="I147" t="s">
        <v>728</v>
      </c>
      <c r="J147" s="1033" t="s">
        <v>856</v>
      </c>
    </row>
    <row r="148" spans="1:10">
      <c r="A148" s="910" t="s">
        <v>703</v>
      </c>
      <c r="B148" s="910" t="s">
        <v>595</v>
      </c>
      <c r="C148" s="913">
        <v>100</v>
      </c>
      <c r="D148" s="913">
        <v>100</v>
      </c>
      <c r="E148" s="913">
        <v>100</v>
      </c>
      <c r="F148" s="913">
        <v>100</v>
      </c>
      <c r="G148" s="919">
        <v>45962</v>
      </c>
      <c r="H148" t="s">
        <v>710</v>
      </c>
      <c r="I148" t="s">
        <v>728</v>
      </c>
    </row>
    <row r="149" spans="1:10" ht="14">
      <c r="A149" s="908" t="s">
        <v>667</v>
      </c>
      <c r="B149" s="908"/>
      <c r="C149" s="909">
        <f>SUM(C150:C169)</f>
        <v>309.22000000000003</v>
      </c>
      <c r="D149" s="909">
        <f t="shared" ref="D149:F149" si="10">SUM(D150:D169)</f>
        <v>309.22000000000003</v>
      </c>
      <c r="E149" s="909">
        <f t="shared" si="10"/>
        <v>479.22</v>
      </c>
      <c r="F149" s="909">
        <f t="shared" si="10"/>
        <v>479.22</v>
      </c>
      <c r="G149" s="908"/>
    </row>
    <row r="150" spans="1:10">
      <c r="A150" s="910" t="s">
        <v>668</v>
      </c>
      <c r="B150" s="910" t="s">
        <v>595</v>
      </c>
      <c r="C150" s="1024">
        <v>147</v>
      </c>
      <c r="D150" s="1024">
        <v>147</v>
      </c>
      <c r="E150" s="1024">
        <v>147</v>
      </c>
      <c r="F150" s="1024">
        <v>147</v>
      </c>
      <c r="G150" s="912"/>
      <c r="H150" t="s">
        <v>705</v>
      </c>
      <c r="I150" t="s">
        <v>711</v>
      </c>
      <c r="J150" s="1033" t="s">
        <v>857</v>
      </c>
    </row>
    <row r="151" spans="1:10">
      <c r="A151" s="1026" t="s">
        <v>669</v>
      </c>
      <c r="B151" s="910" t="s">
        <v>533</v>
      </c>
      <c r="C151" s="1024">
        <v>4.2</v>
      </c>
      <c r="D151" s="1024">
        <v>4.2</v>
      </c>
      <c r="E151" s="1024">
        <v>4.2</v>
      </c>
      <c r="F151" s="1024">
        <v>4.2</v>
      </c>
      <c r="G151" s="912"/>
      <c r="H151" t="s">
        <v>710</v>
      </c>
      <c r="I151" t="s">
        <v>714</v>
      </c>
    </row>
    <row r="152" spans="1:10">
      <c r="A152" s="910" t="s">
        <v>670</v>
      </c>
      <c r="B152" s="910" t="s">
        <v>539</v>
      </c>
      <c r="C152" s="1024">
        <v>0.96</v>
      </c>
      <c r="D152" s="1024">
        <v>0.96</v>
      </c>
      <c r="E152" s="1024">
        <v>0.96</v>
      </c>
      <c r="F152" s="1024">
        <v>0.96</v>
      </c>
      <c r="G152" s="912"/>
      <c r="H152" t="s">
        <v>710</v>
      </c>
      <c r="I152" t="s">
        <v>711</v>
      </c>
      <c r="J152" s="1033" t="s">
        <v>858</v>
      </c>
    </row>
    <row r="153" spans="1:10">
      <c r="A153" s="910" t="s">
        <v>738</v>
      </c>
      <c r="B153" s="910" t="s">
        <v>539</v>
      </c>
      <c r="C153" s="1024">
        <v>3</v>
      </c>
      <c r="D153" s="1024">
        <v>3</v>
      </c>
      <c r="E153" s="1024">
        <v>3</v>
      </c>
      <c r="F153" s="1024">
        <v>3</v>
      </c>
      <c r="G153" s="912"/>
      <c r="H153" t="s">
        <v>710</v>
      </c>
      <c r="I153" t="s">
        <v>711</v>
      </c>
      <c r="J153" s="1033" t="s">
        <v>859</v>
      </c>
    </row>
    <row r="154" spans="1:10">
      <c r="A154" s="910" t="s">
        <v>671</v>
      </c>
      <c r="B154" s="910" t="s">
        <v>539</v>
      </c>
      <c r="C154" s="1024">
        <v>0.5</v>
      </c>
      <c r="D154" s="1024">
        <v>0.5</v>
      </c>
      <c r="E154" s="1024">
        <v>0.5</v>
      </c>
      <c r="F154" s="1024">
        <v>0.5</v>
      </c>
      <c r="G154" s="912"/>
      <c r="H154" t="s">
        <v>710</v>
      </c>
      <c r="I154" t="s">
        <v>711</v>
      </c>
      <c r="J154" s="1033" t="s">
        <v>860</v>
      </c>
    </row>
    <row r="155" spans="1:10">
      <c r="A155" s="910" t="s">
        <v>672</v>
      </c>
      <c r="B155" s="910" t="s">
        <v>539</v>
      </c>
      <c r="C155" s="913">
        <v>5</v>
      </c>
      <c r="D155" s="913">
        <v>5</v>
      </c>
      <c r="E155" s="913">
        <v>5</v>
      </c>
      <c r="F155" s="913">
        <v>5</v>
      </c>
      <c r="G155" s="912"/>
      <c r="H155" t="s">
        <v>710</v>
      </c>
      <c r="I155" t="s">
        <v>711</v>
      </c>
      <c r="J155" s="1033" t="s">
        <v>860</v>
      </c>
    </row>
    <row r="156" spans="1:10">
      <c r="A156" s="910" t="s">
        <v>673</v>
      </c>
      <c r="B156" s="910" t="s">
        <v>539</v>
      </c>
      <c r="C156" s="913">
        <v>19.8</v>
      </c>
      <c r="D156" s="913">
        <v>19.8</v>
      </c>
      <c r="E156" s="913">
        <v>19.8</v>
      </c>
      <c r="F156" s="913">
        <v>19.8</v>
      </c>
      <c r="G156" s="912"/>
      <c r="H156" t="s">
        <v>710</v>
      </c>
      <c r="I156" t="s">
        <v>711</v>
      </c>
      <c r="J156" s="1033" t="s">
        <v>861</v>
      </c>
    </row>
    <row r="157" spans="1:10">
      <c r="A157" s="910" t="s">
        <v>674</v>
      </c>
      <c r="B157" s="910" t="s">
        <v>539</v>
      </c>
      <c r="C157" s="913">
        <v>3.3</v>
      </c>
      <c r="D157" s="913">
        <v>3.3</v>
      </c>
      <c r="E157" s="913">
        <v>3.3</v>
      </c>
      <c r="F157" s="913">
        <v>3.3</v>
      </c>
      <c r="G157" s="912"/>
      <c r="H157" t="s">
        <v>710</v>
      </c>
      <c r="I157" t="s">
        <v>711</v>
      </c>
      <c r="J157" s="1033" t="s">
        <v>862</v>
      </c>
    </row>
    <row r="158" spans="1:10">
      <c r="A158" s="910" t="s">
        <v>675</v>
      </c>
      <c r="B158" s="910" t="s">
        <v>539</v>
      </c>
      <c r="C158" s="915">
        <v>3</v>
      </c>
      <c r="D158" s="915">
        <v>3</v>
      </c>
      <c r="E158" s="915">
        <v>3</v>
      </c>
      <c r="F158" s="915">
        <v>3</v>
      </c>
      <c r="G158" s="916"/>
      <c r="H158" t="s">
        <v>710</v>
      </c>
      <c r="I158" t="s">
        <v>711</v>
      </c>
      <c r="J158" s="1033" t="s">
        <v>863</v>
      </c>
    </row>
    <row r="159" spans="1:10">
      <c r="A159" s="910" t="s">
        <v>676</v>
      </c>
      <c r="B159" s="910" t="s">
        <v>539</v>
      </c>
      <c r="C159" s="915">
        <v>9.9</v>
      </c>
      <c r="D159" s="915">
        <v>9.9</v>
      </c>
      <c r="E159" s="915">
        <v>9.9</v>
      </c>
      <c r="F159" s="915">
        <v>9.9</v>
      </c>
      <c r="G159" s="916">
        <v>46143</v>
      </c>
      <c r="H159" t="s">
        <v>710</v>
      </c>
      <c r="I159" t="s">
        <v>711</v>
      </c>
      <c r="J159" s="1033" t="s">
        <v>864</v>
      </c>
    </row>
    <row r="160" spans="1:10">
      <c r="A160" s="910" t="s">
        <v>677</v>
      </c>
      <c r="B160" s="910" t="s">
        <v>539</v>
      </c>
      <c r="C160" s="915">
        <v>3</v>
      </c>
      <c r="D160" s="915">
        <v>3</v>
      </c>
      <c r="E160" s="915">
        <v>3</v>
      </c>
      <c r="F160" s="915">
        <v>3</v>
      </c>
      <c r="G160" s="916">
        <v>46023</v>
      </c>
      <c r="H160" t="s">
        <v>710</v>
      </c>
      <c r="I160" t="s">
        <v>711</v>
      </c>
      <c r="J160" s="1033" t="s">
        <v>865</v>
      </c>
    </row>
    <row r="161" spans="1:10">
      <c r="A161" s="910" t="s">
        <v>678</v>
      </c>
      <c r="B161" s="910" t="s">
        <v>539</v>
      </c>
      <c r="C161" s="915">
        <v>9.9</v>
      </c>
      <c r="D161" s="915">
        <v>9.9</v>
      </c>
      <c r="E161" s="915">
        <v>9.9</v>
      </c>
      <c r="F161" s="915">
        <v>9.9</v>
      </c>
      <c r="G161" s="916">
        <v>45962</v>
      </c>
      <c r="H161" t="s">
        <v>705</v>
      </c>
      <c r="I161" t="s">
        <v>711</v>
      </c>
    </row>
    <row r="162" spans="1:10">
      <c r="A162" s="910" t="s">
        <v>633</v>
      </c>
      <c r="B162" s="910" t="s">
        <v>627</v>
      </c>
      <c r="C162" s="915">
        <v>66</v>
      </c>
      <c r="D162" s="915">
        <v>66</v>
      </c>
      <c r="E162" s="915">
        <v>66</v>
      </c>
      <c r="F162" s="915">
        <v>66</v>
      </c>
      <c r="G162" s="917"/>
      <c r="H162" t="s">
        <v>705</v>
      </c>
      <c r="I162" t="s">
        <v>739</v>
      </c>
      <c r="J162" s="1033" t="s">
        <v>866</v>
      </c>
    </row>
    <row r="163" spans="1:10">
      <c r="A163" s="910" t="s">
        <v>867</v>
      </c>
      <c r="B163" s="910" t="s">
        <v>627</v>
      </c>
      <c r="C163" s="1024"/>
      <c r="D163" s="1024"/>
      <c r="E163" s="1024">
        <v>21.6</v>
      </c>
      <c r="F163" s="1024">
        <v>21.6</v>
      </c>
      <c r="G163" s="1027">
        <v>46722</v>
      </c>
      <c r="H163" t="s">
        <v>705</v>
      </c>
      <c r="I163" t="s">
        <v>731</v>
      </c>
    </row>
    <row r="164" spans="1:10">
      <c r="A164" s="910" t="s">
        <v>868</v>
      </c>
      <c r="B164" s="910" t="s">
        <v>627</v>
      </c>
      <c r="C164" s="915"/>
      <c r="D164" s="915"/>
      <c r="E164" s="915">
        <v>22.4</v>
      </c>
      <c r="F164" s="915">
        <v>22.4</v>
      </c>
      <c r="G164" s="916">
        <v>46722</v>
      </c>
      <c r="H164" t="s">
        <v>705</v>
      </c>
      <c r="I164" t="s">
        <v>728</v>
      </c>
    </row>
    <row r="165" spans="1:10">
      <c r="A165" s="910" t="s">
        <v>647</v>
      </c>
      <c r="B165" s="910" t="s">
        <v>539</v>
      </c>
      <c r="C165" s="915">
        <v>9</v>
      </c>
      <c r="D165" s="915">
        <v>9</v>
      </c>
      <c r="E165" s="915">
        <v>9</v>
      </c>
      <c r="F165" s="915">
        <v>9</v>
      </c>
      <c r="G165" s="917"/>
      <c r="H165" t="s">
        <v>710</v>
      </c>
      <c r="I165" t="s">
        <v>711</v>
      </c>
      <c r="J165" s="1033" t="s">
        <v>869</v>
      </c>
    </row>
    <row r="166" spans="1:10">
      <c r="A166" s="910" t="s">
        <v>870</v>
      </c>
      <c r="B166" s="910" t="s">
        <v>539</v>
      </c>
      <c r="C166" s="913">
        <v>4.8</v>
      </c>
      <c r="D166" s="913">
        <v>4.8</v>
      </c>
      <c r="E166" s="913">
        <v>4.8</v>
      </c>
      <c r="F166" s="913">
        <v>4.8</v>
      </c>
      <c r="G166" s="914"/>
      <c r="H166" t="s">
        <v>710</v>
      </c>
      <c r="I166" t="s">
        <v>714</v>
      </c>
    </row>
    <row r="167" spans="1:10">
      <c r="A167" s="910" t="s">
        <v>643</v>
      </c>
      <c r="B167" s="910" t="s">
        <v>539</v>
      </c>
      <c r="C167" s="915">
        <v>9.9600000000000009</v>
      </c>
      <c r="D167" s="915">
        <v>9.9600000000000009</v>
      </c>
      <c r="E167" s="915">
        <v>9.9600000000000009</v>
      </c>
      <c r="F167" s="915">
        <v>9.9600000000000009</v>
      </c>
      <c r="G167" s="916"/>
      <c r="H167" t="s">
        <v>710</v>
      </c>
      <c r="I167" t="s">
        <v>714</v>
      </c>
      <c r="J167" s="1033" t="s">
        <v>871</v>
      </c>
    </row>
    <row r="168" spans="1:10">
      <c r="A168" s="910" t="s">
        <v>872</v>
      </c>
      <c r="B168" s="910" t="s">
        <v>539</v>
      </c>
      <c r="C168" s="1024">
        <v>9.9</v>
      </c>
      <c r="D168" s="1024">
        <v>9.9</v>
      </c>
      <c r="E168" s="1024">
        <v>9.9</v>
      </c>
      <c r="F168" s="1024">
        <v>9.9</v>
      </c>
      <c r="G168" s="911"/>
      <c r="H168" t="s">
        <v>710</v>
      </c>
      <c r="I168" t="s">
        <v>714</v>
      </c>
    </row>
    <row r="169" spans="1:10">
      <c r="A169" s="910" t="s">
        <v>666</v>
      </c>
      <c r="B169" s="910" t="s">
        <v>627</v>
      </c>
      <c r="C169" s="1024"/>
      <c r="D169" s="1024"/>
      <c r="E169" s="1024">
        <v>126</v>
      </c>
      <c r="F169" s="1024">
        <v>126</v>
      </c>
      <c r="G169" s="1027">
        <v>46784</v>
      </c>
      <c r="H169" t="s">
        <v>705</v>
      </c>
      <c r="I169" t="s">
        <v>731</v>
      </c>
    </row>
    <row r="170" spans="1:10" ht="14">
      <c r="A170" s="908" t="s">
        <v>679</v>
      </c>
      <c r="B170" s="908"/>
      <c r="C170" s="909">
        <f>SUM(C171:C173)</f>
        <v>156.142</v>
      </c>
      <c r="D170" s="909">
        <f t="shared" ref="D170:F170" si="11">SUM(D171:D173)</f>
        <v>156.142</v>
      </c>
      <c r="E170" s="909">
        <f t="shared" si="11"/>
        <v>156.142</v>
      </c>
      <c r="F170" s="909">
        <f t="shared" si="11"/>
        <v>156.142</v>
      </c>
      <c r="G170" s="908"/>
    </row>
    <row r="171" spans="1:10">
      <c r="A171" s="910" t="s">
        <v>680</v>
      </c>
      <c r="B171" s="910" t="s">
        <v>595</v>
      </c>
      <c r="C171" s="1024">
        <v>99.611999999999995</v>
      </c>
      <c r="D171" s="1024">
        <v>99.611999999999995</v>
      </c>
      <c r="E171" s="1024">
        <v>99.611999999999995</v>
      </c>
      <c r="F171" s="1024">
        <v>99.611999999999995</v>
      </c>
      <c r="G171" s="911"/>
      <c r="H171" t="s">
        <v>705</v>
      </c>
      <c r="I171" t="s">
        <v>720</v>
      </c>
      <c r="J171" s="1033" t="s">
        <v>873</v>
      </c>
    </row>
    <row r="172" spans="1:10">
      <c r="A172" s="910" t="s">
        <v>681</v>
      </c>
      <c r="B172" s="910" t="s">
        <v>595</v>
      </c>
      <c r="C172" s="1024">
        <v>53.53</v>
      </c>
      <c r="D172" s="1024">
        <v>53.53</v>
      </c>
      <c r="E172" s="1024">
        <v>53.53</v>
      </c>
      <c r="F172" s="1024">
        <v>53.53</v>
      </c>
      <c r="G172" s="920"/>
      <c r="H172" t="s">
        <v>705</v>
      </c>
      <c r="I172" t="s">
        <v>719</v>
      </c>
      <c r="J172" s="1033" t="s">
        <v>874</v>
      </c>
    </row>
    <row r="173" spans="1:10">
      <c r="A173" s="910" t="s">
        <v>875</v>
      </c>
      <c r="B173" s="910" t="s">
        <v>539</v>
      </c>
      <c r="C173" s="1024">
        <v>3</v>
      </c>
      <c r="D173" s="1024">
        <v>3</v>
      </c>
      <c r="E173" s="1024">
        <v>3</v>
      </c>
      <c r="F173" s="1024">
        <v>3</v>
      </c>
      <c r="G173" s="911"/>
      <c r="H173" t="s">
        <v>710</v>
      </c>
      <c r="I173" t="s">
        <v>719</v>
      </c>
    </row>
    <row r="174" spans="1:10" ht="14">
      <c r="A174" s="908" t="s">
        <v>682</v>
      </c>
      <c r="B174" s="908"/>
      <c r="C174" s="909">
        <f>SUM(C175)</f>
        <v>260</v>
      </c>
      <c r="D174" s="909">
        <f t="shared" ref="D174:F174" si="12">SUM(D175)</f>
        <v>260</v>
      </c>
      <c r="E174" s="909">
        <f t="shared" si="12"/>
        <v>260</v>
      </c>
      <c r="F174" s="909">
        <f t="shared" si="12"/>
        <v>260</v>
      </c>
      <c r="G174" s="908"/>
    </row>
    <row r="175" spans="1:10">
      <c r="A175" s="910" t="s">
        <v>683</v>
      </c>
      <c r="B175" s="910" t="s">
        <v>533</v>
      </c>
      <c r="C175" s="911">
        <v>260</v>
      </c>
      <c r="D175" s="911">
        <v>260</v>
      </c>
      <c r="E175" s="911">
        <v>260</v>
      </c>
      <c r="F175" s="911">
        <v>260</v>
      </c>
      <c r="G175" s="911"/>
      <c r="H175" t="s">
        <v>705</v>
      </c>
      <c r="I175" t="s">
        <v>708</v>
      </c>
    </row>
    <row r="176" spans="1:10" ht="14">
      <c r="A176" s="908" t="s">
        <v>684</v>
      </c>
      <c r="B176" s="908"/>
      <c r="C176" s="909">
        <f>SUM(C177:C182)</f>
        <v>1376.25</v>
      </c>
      <c r="D176" s="909">
        <f t="shared" ref="D176:F176" si="13">SUM(D177:D182)</f>
        <v>1376.25</v>
      </c>
      <c r="E176" s="909">
        <f t="shared" si="13"/>
        <v>1376.25</v>
      </c>
      <c r="F176" s="909">
        <f t="shared" si="13"/>
        <v>1376.25</v>
      </c>
      <c r="G176" s="908"/>
    </row>
    <row r="177" spans="1:10">
      <c r="A177" s="910" t="s">
        <v>685</v>
      </c>
      <c r="B177" s="910" t="s">
        <v>595</v>
      </c>
      <c r="C177" s="1024">
        <v>121</v>
      </c>
      <c r="D177" s="1024">
        <v>121</v>
      </c>
      <c r="E177" s="1024">
        <v>121</v>
      </c>
      <c r="F177" s="1024">
        <v>121</v>
      </c>
      <c r="G177" s="911"/>
      <c r="H177" t="s">
        <v>705</v>
      </c>
      <c r="I177" t="s">
        <v>725</v>
      </c>
      <c r="J177" s="1033" t="s">
        <v>876</v>
      </c>
    </row>
    <row r="178" spans="1:10">
      <c r="A178" s="910" t="s">
        <v>686</v>
      </c>
      <c r="B178" s="910" t="s">
        <v>595</v>
      </c>
      <c r="C178" s="1024">
        <v>150</v>
      </c>
      <c r="D178" s="1024">
        <v>150</v>
      </c>
      <c r="E178" s="1024">
        <v>150</v>
      </c>
      <c r="F178" s="1024">
        <v>150</v>
      </c>
      <c r="G178" s="911"/>
      <c r="H178" t="s">
        <v>705</v>
      </c>
      <c r="I178" t="s">
        <v>725</v>
      </c>
      <c r="J178" s="1033" t="s">
        <v>877</v>
      </c>
    </row>
    <row r="179" spans="1:10">
      <c r="A179" s="910" t="s">
        <v>687</v>
      </c>
      <c r="B179" s="910" t="s">
        <v>595</v>
      </c>
      <c r="C179" s="1024">
        <v>381</v>
      </c>
      <c r="D179" s="1024">
        <v>381</v>
      </c>
      <c r="E179" s="1024">
        <v>381</v>
      </c>
      <c r="F179" s="1024">
        <v>381</v>
      </c>
      <c r="G179" s="911"/>
      <c r="H179" t="s">
        <v>710</v>
      </c>
      <c r="I179" t="s">
        <v>719</v>
      </c>
      <c r="J179" s="1033" t="s">
        <v>878</v>
      </c>
    </row>
    <row r="180" spans="1:10">
      <c r="A180" s="910" t="s">
        <v>688</v>
      </c>
      <c r="B180" s="910" t="s">
        <v>595</v>
      </c>
      <c r="C180" s="1024">
        <v>5.05</v>
      </c>
      <c r="D180" s="1024">
        <v>5.05</v>
      </c>
      <c r="E180" s="1024">
        <v>5.05</v>
      </c>
      <c r="F180" s="1024">
        <v>5.05</v>
      </c>
      <c r="G180" s="911"/>
      <c r="H180" t="s">
        <v>710</v>
      </c>
      <c r="I180" t="s">
        <v>725</v>
      </c>
      <c r="J180" s="1033" t="s">
        <v>879</v>
      </c>
    </row>
    <row r="181" spans="1:10">
      <c r="A181" s="910" t="s">
        <v>689</v>
      </c>
      <c r="B181" s="910" t="s">
        <v>595</v>
      </c>
      <c r="C181" s="1024">
        <v>49.2</v>
      </c>
      <c r="D181" s="1024">
        <v>49.2</v>
      </c>
      <c r="E181" s="1024">
        <v>49.2</v>
      </c>
      <c r="F181" s="1024">
        <v>49.2</v>
      </c>
      <c r="G181" s="911"/>
      <c r="H181" t="s">
        <v>710</v>
      </c>
      <c r="I181" t="s">
        <v>718</v>
      </c>
      <c r="J181" s="1033" t="s">
        <v>880</v>
      </c>
    </row>
    <row r="182" spans="1:10">
      <c r="A182" s="910" t="s">
        <v>690</v>
      </c>
      <c r="B182" s="910" t="s">
        <v>595</v>
      </c>
      <c r="C182" s="1024">
        <v>670</v>
      </c>
      <c r="D182" s="1024">
        <v>670</v>
      </c>
      <c r="E182" s="1024">
        <v>670</v>
      </c>
      <c r="F182" s="1024">
        <v>670</v>
      </c>
      <c r="G182" s="911"/>
      <c r="H182" t="s">
        <v>710</v>
      </c>
      <c r="I182" t="s">
        <v>730</v>
      </c>
    </row>
    <row r="183" spans="1:10" ht="14">
      <c r="A183" s="908" t="s">
        <v>691</v>
      </c>
      <c r="B183" s="908"/>
      <c r="C183" s="909">
        <f>SUM(C184:C185)</f>
        <v>254.8</v>
      </c>
      <c r="D183" s="909">
        <f t="shared" ref="D183:F183" si="14">SUM(D184:D185)</f>
        <v>254.8</v>
      </c>
      <c r="E183" s="909">
        <f t="shared" si="14"/>
        <v>254.8</v>
      </c>
      <c r="F183" s="909">
        <f t="shared" si="14"/>
        <v>254.8</v>
      </c>
      <c r="G183" s="908"/>
    </row>
    <row r="184" spans="1:10">
      <c r="A184" s="910" t="s">
        <v>692</v>
      </c>
      <c r="B184" s="910" t="s">
        <v>533</v>
      </c>
      <c r="C184" s="1024">
        <v>223</v>
      </c>
      <c r="D184" s="1024">
        <v>223</v>
      </c>
      <c r="E184" s="1024">
        <v>223</v>
      </c>
      <c r="F184" s="1024">
        <v>223</v>
      </c>
      <c r="G184" s="912"/>
      <c r="H184" t="s">
        <v>705</v>
      </c>
      <c r="I184" t="s">
        <v>706</v>
      </c>
      <c r="J184" s="1033" t="s">
        <v>881</v>
      </c>
    </row>
    <row r="185" spans="1:10">
      <c r="A185" s="910" t="s">
        <v>693</v>
      </c>
      <c r="B185" s="910" t="s">
        <v>533</v>
      </c>
      <c r="C185" s="1024">
        <v>31.8</v>
      </c>
      <c r="D185" s="1024">
        <v>31.8</v>
      </c>
      <c r="E185" s="1024">
        <v>31.8</v>
      </c>
      <c r="F185" s="1024">
        <v>31.8</v>
      </c>
      <c r="G185" s="912"/>
      <c r="H185" t="s">
        <v>705</v>
      </c>
      <c r="I185" t="s">
        <v>706</v>
      </c>
      <c r="J185" s="1033" t="s">
        <v>882</v>
      </c>
    </row>
    <row r="186" spans="1:10" ht="14">
      <c r="A186" s="909" t="s">
        <v>694</v>
      </c>
      <c r="B186" s="909"/>
      <c r="C186" s="1035">
        <f>+C5+C24+C31+C43+C101+C149+C170+C174+C176+C183</f>
        <v>4859.4834498999999</v>
      </c>
      <c r="D186" s="1035">
        <f>+D5+D24+D31+D43+D101+D149+D170+D174+D176+D183</f>
        <v>5076.7934499000003</v>
      </c>
      <c r="E186" s="1035">
        <f>+E5+E24+E31+E43+E101+E149+E170+E174+E176+E183</f>
        <v>5276.7934499000003</v>
      </c>
      <c r="F186" s="1035">
        <f>+F5+F24+F31+F43+F101+F149+F170+F174+F176+F183</f>
        <v>5339.7934499000003</v>
      </c>
    </row>
    <row r="187" spans="1:10">
      <c r="A187" s="942"/>
      <c r="B187" s="942"/>
      <c r="C187" s="943"/>
      <c r="D187" s="943"/>
      <c r="E187" s="943"/>
      <c r="F187" s="943"/>
      <c r="G187" s="943"/>
    </row>
    <row r="188" spans="1:10">
      <c r="A188" s="942"/>
      <c r="B188" s="942"/>
      <c r="C188" s="943"/>
      <c r="D188" s="943"/>
      <c r="E188" s="943"/>
      <c r="F188" s="943"/>
      <c r="G188" s="943"/>
    </row>
    <row r="189" spans="1:10">
      <c r="A189" s="982" t="s">
        <v>740</v>
      </c>
      <c r="B189" s="983"/>
      <c r="C189" s="983"/>
      <c r="D189" s="983"/>
      <c r="E189" s="983"/>
      <c r="F189" s="983"/>
      <c r="G189" s="983"/>
    </row>
    <row r="190" spans="1:10">
      <c r="A190" s="982" t="s">
        <v>741</v>
      </c>
      <c r="B190" s="983"/>
      <c r="C190" s="983"/>
      <c r="D190" s="983"/>
      <c r="E190" s="983"/>
      <c r="F190" s="983"/>
      <c r="G190" s="983"/>
    </row>
    <row r="191" spans="1:10">
      <c r="A191" s="982" t="s">
        <v>742</v>
      </c>
      <c r="B191" s="983"/>
      <c r="C191" s="983"/>
      <c r="D191" s="983"/>
      <c r="E191" s="983"/>
      <c r="F191" s="983"/>
      <c r="G191" s="983"/>
    </row>
    <row r="192" spans="1:10">
      <c r="A192" s="982" t="s">
        <v>743</v>
      </c>
      <c r="B192" s="983"/>
      <c r="C192" s="983"/>
      <c r="D192" s="983"/>
      <c r="E192" s="983"/>
      <c r="F192" s="983"/>
      <c r="G192" s="983"/>
    </row>
    <row r="193" spans="1:7">
      <c r="A193" s="982" t="s">
        <v>744</v>
      </c>
      <c r="B193" s="983"/>
      <c r="C193" s="983"/>
      <c r="D193" s="983"/>
      <c r="E193" s="983"/>
      <c r="F193" s="983"/>
      <c r="G193" s="983"/>
    </row>
    <row r="195" spans="1:7" ht="44.5" customHeight="1">
      <c r="A195" s="1028" t="s">
        <v>883</v>
      </c>
      <c r="B195" s="1029"/>
      <c r="C195" s="1029"/>
      <c r="D195" s="1029"/>
      <c r="E195" s="1029"/>
      <c r="F195" s="1029"/>
      <c r="G195" s="1030"/>
    </row>
  </sheetData>
  <mergeCells count="10">
    <mergeCell ref="A195:G195"/>
    <mergeCell ref="A193:G193"/>
    <mergeCell ref="A2:G2"/>
    <mergeCell ref="A3:A4"/>
    <mergeCell ref="B3:B4"/>
    <mergeCell ref="L3:P3"/>
    <mergeCell ref="A189:G189"/>
    <mergeCell ref="A190:G190"/>
    <mergeCell ref="A191:G191"/>
    <mergeCell ref="A192:G19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044E-C4B2-4482-AA7E-F02656D72FC5}">
  <dimension ref="A3:E10"/>
  <sheetViews>
    <sheetView workbookViewId="0">
      <selection activeCell="F22" sqref="F22"/>
    </sheetView>
  </sheetViews>
  <sheetFormatPr baseColWidth="10" defaultRowHeight="12.5"/>
  <cols>
    <col min="1" max="1" width="13.453125" customWidth="1"/>
    <col min="2" max="5" width="16.81640625" style="953" customWidth="1"/>
  </cols>
  <sheetData>
    <row r="3" spans="1:5" ht="14.5">
      <c r="A3" s="991"/>
      <c r="B3" s="991"/>
      <c r="C3" s="991"/>
      <c r="D3" s="991"/>
      <c r="E3" s="991"/>
    </row>
    <row r="4" spans="1:5" ht="14.5">
      <c r="A4" s="950"/>
      <c r="B4" s="992" t="s">
        <v>755</v>
      </c>
      <c r="C4" s="992"/>
      <c r="D4" s="992"/>
      <c r="E4" s="951"/>
    </row>
    <row r="5" spans="1:5" ht="14.5">
      <c r="A5" s="991" t="s">
        <v>13</v>
      </c>
      <c r="B5" s="991"/>
      <c r="C5" s="991"/>
      <c r="D5" s="991"/>
      <c r="E5" s="991"/>
    </row>
    <row r="6" spans="1:5" ht="14.5">
      <c r="A6" s="991" t="s">
        <v>746</v>
      </c>
      <c r="B6" s="991"/>
      <c r="C6" s="991"/>
      <c r="D6" s="991"/>
      <c r="E6" s="991"/>
    </row>
    <row r="7" spans="1:5" ht="14.5">
      <c r="A7" s="991" t="s">
        <v>747</v>
      </c>
      <c r="B7" s="991"/>
      <c r="C7" s="991"/>
      <c r="D7" s="991"/>
      <c r="E7" s="991"/>
    </row>
    <row r="8" spans="1:5" ht="29">
      <c r="A8" s="947" t="s">
        <v>748</v>
      </c>
      <c r="B8" s="948" t="s">
        <v>749</v>
      </c>
      <c r="C8" s="948" t="s">
        <v>750</v>
      </c>
      <c r="D8" s="948" t="s">
        <v>751</v>
      </c>
      <c r="E8" s="948" t="s">
        <v>752</v>
      </c>
    </row>
    <row r="9" spans="1:5" ht="14.5">
      <c r="A9" s="949" t="s">
        <v>753</v>
      </c>
      <c r="B9" s="952">
        <v>8.1000000000000003E-2</v>
      </c>
      <c r="C9" s="952">
        <v>9.4500000000000001E-2</v>
      </c>
      <c r="D9" s="952">
        <v>9.4299999999999995E-2</v>
      </c>
      <c r="E9" s="952">
        <v>8.0799999999999997E-2</v>
      </c>
    </row>
    <row r="10" spans="1:5" ht="14.5">
      <c r="A10" s="949" t="s">
        <v>754</v>
      </c>
      <c r="B10" s="952">
        <v>0.21279999999999999</v>
      </c>
      <c r="C10" s="952">
        <v>0.2596</v>
      </c>
      <c r="D10" s="952">
        <v>0.28149999999999997</v>
      </c>
      <c r="E10" s="952">
        <v>0.23760000000000001</v>
      </c>
    </row>
  </sheetData>
  <mergeCells count="5">
    <mergeCell ref="A3:E3"/>
    <mergeCell ref="B4:D4"/>
    <mergeCell ref="A5:E5"/>
    <mergeCell ref="A6:E6"/>
    <mergeCell ref="A7:E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6e61a0f-1a17-4f12-99f2-2366347c896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DAB959520DE24FB346BB54DAF21A01" ma:contentTypeVersion="6" ma:contentTypeDescription="Create a new document." ma:contentTypeScope="" ma:versionID="72ff0b35d6903705c5541f5272518507">
  <xsd:schema xmlns:xsd="http://www.w3.org/2001/XMLSchema" xmlns:xs="http://www.w3.org/2001/XMLSchema" xmlns:p="http://schemas.microsoft.com/office/2006/metadata/properties" xmlns:ns3="26e61a0f-1a17-4f12-99f2-2366347c896c" targetNamespace="http://schemas.microsoft.com/office/2006/metadata/properties" ma:root="true" ma:fieldsID="2f034b363ce9b36b954bc57e0e25d406" ns3:_="">
    <xsd:import namespace="26e61a0f-1a17-4f12-99f2-2366347c896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e61a0f-1a17-4f12-99f2-2366347c896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DBBB70-4D0B-43E8-83A1-5C8342E867F2}">
  <ds:schemaRefs>
    <ds:schemaRef ds:uri="http://purl.org/dc/elements/1.1/"/>
    <ds:schemaRef ds:uri="http://schemas.microsoft.com/office/2006/metadata/properties"/>
    <ds:schemaRef ds:uri="http://www.w3.org/XML/1998/namespace"/>
    <ds:schemaRef ds:uri="26e61a0f-1a17-4f12-99f2-2366347c896c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885E388-9994-441A-A1F0-AD5983DE22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7E65D-A203-4C59-9BDD-7AFA52ECC1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e61a0f-1a17-4f12-99f2-2366347c8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5</vt:i4>
      </vt:variant>
    </vt:vector>
  </HeadingPairs>
  <TitlesOfParts>
    <vt:vector size="20" baseType="lpstr">
      <vt:lpstr>AT4 D Y C</vt:lpstr>
      <vt:lpstr>AT3 D Y C</vt:lpstr>
      <vt:lpstr>AT2 D Y C</vt:lpstr>
      <vt:lpstr>AT1 D Y C</vt:lpstr>
      <vt:lpstr>Cargos SOI</vt:lpstr>
      <vt:lpstr>IMP Existente </vt:lpstr>
      <vt:lpstr>Resumen Dem  Y Cap</vt:lpstr>
      <vt:lpstr>Generacion y Demanda Nuevo</vt:lpstr>
      <vt:lpstr>Hoja1</vt:lpstr>
      <vt:lpstr>Julio-Dic 2013</vt:lpstr>
      <vt:lpstr>Balance</vt:lpstr>
      <vt:lpstr>ipc</vt:lpstr>
      <vt:lpstr>IMP</vt:lpstr>
      <vt:lpstr>Datos fijos año 1 Real</vt:lpstr>
      <vt:lpstr>IMP Actualizado viejo</vt:lpstr>
      <vt:lpstr>'Cargos SOI'!Área_de_impresión</vt:lpstr>
      <vt:lpstr>'Datos fijos año 1 Real'!Área_de_impresión</vt:lpstr>
      <vt:lpstr>'IMP Actualizado viejo'!Área_de_impresión</vt:lpstr>
      <vt:lpstr>ipc!Área_de_impresión</vt:lpstr>
      <vt:lpstr>'IMP Existente '!RRT</vt:lpstr>
    </vt:vector>
  </TitlesOfParts>
  <Company>ETESA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Mrivera</dc:creator>
  <cp:lastModifiedBy>Enrique Hernandez Cárdenas</cp:lastModifiedBy>
  <cp:lastPrinted>2014-12-09T21:00:23Z</cp:lastPrinted>
  <dcterms:created xsi:type="dcterms:W3CDTF">2001-06-20T13:56:19Z</dcterms:created>
  <dcterms:modified xsi:type="dcterms:W3CDTF">2025-12-28T20:00:12Z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0x0101003DDAB959520DE24FB346BB54DAF21A01</vt:lpwstr>
  </property>
</Properties>
</file>